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defaultThemeVersion="166925"/>
  <mc:AlternateContent xmlns:mc="http://schemas.openxmlformats.org/markup-compatibility/2006">
    <mc:Choice Requires="x15">
      <x15ac:absPath xmlns:x15ac="http://schemas.microsoft.com/office/spreadsheetml/2010/11/ac" url="/Users/cristina/Documents/NFFA-DI/progetto_approvato/"/>
    </mc:Choice>
  </mc:AlternateContent>
  <xr:revisionPtr revIDLastSave="0" documentId="8_{2C056C27-8721-6B44-9561-73BD93B96BDE}" xr6:coauthVersionLast="47" xr6:coauthVersionMax="47" xr10:uidLastSave="{00000000-0000-0000-0000-000000000000}"/>
  <bookViews>
    <workbookView xWindow="0" yWindow="500" windowWidth="28800" windowHeight="17500" activeTab="8" xr2:uid="{00000000-000D-0000-FFFF-FFFF00000000}"/>
  </bookViews>
  <sheets>
    <sheet name="WP1" sheetId="1" r:id="rId1"/>
    <sheet name="WP2" sheetId="2" r:id="rId2"/>
    <sheet name="WP3" sheetId="3" r:id="rId3"/>
    <sheet name="WP4" sheetId="4" r:id="rId4"/>
    <sheet name="WP5" sheetId="5" r:id="rId5"/>
    <sheet name="WP6" sheetId="6" r:id="rId6"/>
    <sheet name="WP7" sheetId="7" r:id="rId7"/>
    <sheet name="WP8" sheetId="8" r:id="rId8"/>
    <sheet name="All WPs" sheetId="10" r:id="rId9"/>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5" i="8" l="1"/>
  <c r="AD15" i="8"/>
  <c r="AE16" i="8"/>
  <c r="W12" i="4"/>
  <c r="M12" i="4"/>
  <c r="I12" i="8"/>
  <c r="AC16" i="6"/>
  <c r="AC15" i="6"/>
  <c r="AB15" i="6"/>
  <c r="S16" i="5"/>
  <c r="S15" i="5"/>
  <c r="R15" i="5"/>
  <c r="AC3" i="6"/>
  <c r="H12" i="10"/>
  <c r="H3" i="10"/>
  <c r="H4" i="10"/>
  <c r="H5" i="10"/>
  <c r="H6" i="10"/>
  <c r="H7" i="10"/>
  <c r="H8" i="10"/>
  <c r="H9" i="10"/>
  <c r="H10" i="10"/>
  <c r="H11" i="10"/>
  <c r="H13" i="10"/>
  <c r="H14" i="10"/>
  <c r="B3" i="10"/>
  <c r="B4" i="10"/>
  <c r="B5" i="10"/>
  <c r="B6" i="10"/>
  <c r="B7" i="10"/>
  <c r="B8" i="10"/>
  <c r="B9" i="10"/>
  <c r="B10" i="10"/>
  <c r="B11" i="10"/>
  <c r="B12" i="10"/>
  <c r="B13" i="10"/>
  <c r="B14" i="10"/>
  <c r="D3" i="10"/>
  <c r="D4" i="10"/>
  <c r="D5" i="10"/>
  <c r="D6" i="10"/>
  <c r="D7" i="10"/>
  <c r="D8" i="10"/>
  <c r="D9" i="10"/>
  <c r="D10" i="10"/>
  <c r="D11" i="10"/>
  <c r="D12" i="10"/>
  <c r="D13" i="10"/>
  <c r="D14" i="10"/>
  <c r="F3" i="10"/>
  <c r="F4" i="10"/>
  <c r="F5" i="10"/>
  <c r="F6" i="10"/>
  <c r="F7" i="10"/>
  <c r="F8" i="10"/>
  <c r="F9" i="10"/>
  <c r="F10" i="10"/>
  <c r="F11" i="10"/>
  <c r="F12" i="10"/>
  <c r="F13" i="10"/>
  <c r="F14" i="10"/>
  <c r="J3" i="3"/>
  <c r="J3" i="10"/>
  <c r="J4" i="10"/>
  <c r="J5" i="3"/>
  <c r="J5" i="10"/>
  <c r="J6" i="10"/>
  <c r="J7" i="10"/>
  <c r="J8" i="10"/>
  <c r="J9" i="10"/>
  <c r="J10" i="10"/>
  <c r="J11" i="10"/>
  <c r="J12" i="10"/>
  <c r="J13" i="2"/>
  <c r="J13" i="10"/>
  <c r="J14" i="10"/>
  <c r="L3" i="10"/>
  <c r="L4" i="4"/>
  <c r="L4" i="10"/>
  <c r="L5" i="10"/>
  <c r="L6" i="10"/>
  <c r="L7" i="10"/>
  <c r="L8" i="10"/>
  <c r="L9" i="10"/>
  <c r="L10" i="10"/>
  <c r="L11" i="10"/>
  <c r="L12" i="10"/>
  <c r="L13" i="10"/>
  <c r="L14" i="10"/>
  <c r="N3" i="10"/>
  <c r="N4" i="10"/>
  <c r="N5" i="10"/>
  <c r="N6" i="10"/>
  <c r="N7" i="10"/>
  <c r="N8" i="10"/>
  <c r="N9" i="10"/>
  <c r="N10" i="5"/>
  <c r="N10" i="10"/>
  <c r="N11" i="10"/>
  <c r="N12" i="10"/>
  <c r="N13" i="10"/>
  <c r="N14" i="10"/>
  <c r="P3" i="10"/>
  <c r="P4" i="10"/>
  <c r="P5" i="10"/>
  <c r="P6" i="10"/>
  <c r="P7" i="10"/>
  <c r="P8" i="10"/>
  <c r="P9" i="10"/>
  <c r="P10" i="10"/>
  <c r="P11" i="10"/>
  <c r="P12" i="10"/>
  <c r="P13" i="2"/>
  <c r="P13" i="10"/>
  <c r="P14" i="10"/>
  <c r="R3" i="10"/>
  <c r="R4" i="10"/>
  <c r="R5" i="10"/>
  <c r="R6" i="10"/>
  <c r="R7" i="7"/>
  <c r="R7" i="10"/>
  <c r="R8" i="10"/>
  <c r="R9" i="10"/>
  <c r="R10" i="10"/>
  <c r="R11" i="3"/>
  <c r="R11" i="10"/>
  <c r="R12" i="10"/>
  <c r="R13" i="10"/>
  <c r="R14" i="10"/>
  <c r="T3" i="3"/>
  <c r="T3" i="8"/>
  <c r="T3" i="10"/>
  <c r="T4" i="3"/>
  <c r="T4" i="10"/>
  <c r="T5" i="8"/>
  <c r="T5" i="10"/>
  <c r="T6" i="8"/>
  <c r="T6" i="10"/>
  <c r="T7" i="8"/>
  <c r="T7" i="10"/>
  <c r="T8" i="8"/>
  <c r="T8" i="10"/>
  <c r="T9" i="10"/>
  <c r="T10" i="3"/>
  <c r="T10" i="8"/>
  <c r="T10" i="10"/>
  <c r="T11" i="10"/>
  <c r="T12" i="3"/>
  <c r="T12" i="10"/>
  <c r="T13" i="3"/>
  <c r="T13" i="10"/>
  <c r="T14" i="10"/>
  <c r="V3" i="10"/>
  <c r="V4" i="10"/>
  <c r="V5" i="10"/>
  <c r="V6" i="10"/>
  <c r="V7" i="4"/>
  <c r="V7" i="10"/>
  <c r="V8" i="10"/>
  <c r="V9" i="10"/>
  <c r="V10" i="10"/>
  <c r="V11" i="10"/>
  <c r="V12" i="10"/>
  <c r="V13" i="10"/>
  <c r="V14" i="10"/>
  <c r="X3" i="7"/>
  <c r="X3" i="8"/>
  <c r="X3" i="10"/>
  <c r="X4" i="10"/>
  <c r="X5" i="10"/>
  <c r="X6" i="10"/>
  <c r="X7" i="8"/>
  <c r="X7" i="10"/>
  <c r="X8" i="10"/>
  <c r="X9" i="10"/>
  <c r="X10" i="10"/>
  <c r="X11" i="10"/>
  <c r="X12" i="7"/>
  <c r="X12" i="10"/>
  <c r="X13" i="10"/>
  <c r="X14" i="10"/>
  <c r="Z3" i="8"/>
  <c r="Z3" i="10"/>
  <c r="Z4" i="10"/>
  <c r="Z5" i="8"/>
  <c r="Z5" i="10"/>
  <c r="Z6" i="8"/>
  <c r="Z6" i="10"/>
  <c r="Z7" i="8"/>
  <c r="Z7" i="10"/>
  <c r="Z8" i="8"/>
  <c r="Z8" i="10"/>
  <c r="Z9" i="10"/>
  <c r="Z10" i="8"/>
  <c r="Z10" i="10"/>
  <c r="Z11" i="10"/>
  <c r="Z12" i="10"/>
  <c r="Z13" i="10"/>
  <c r="Z14" i="10"/>
  <c r="AB3" i="10"/>
  <c r="AB4" i="10"/>
  <c r="AB5" i="3"/>
  <c r="AB5" i="10"/>
  <c r="AB6" i="10"/>
  <c r="AB7" i="10"/>
  <c r="AB8" i="10"/>
  <c r="AB9" i="10"/>
  <c r="AB10" i="10"/>
  <c r="AB11" i="10"/>
  <c r="AB12" i="10"/>
  <c r="AB13" i="10"/>
  <c r="AB14" i="10"/>
  <c r="AD3" i="3"/>
  <c r="AD3" i="4"/>
  <c r="AD3" i="8"/>
  <c r="AD3" i="10"/>
  <c r="AD4" i="4"/>
  <c r="AD4" i="10"/>
  <c r="AD5" i="10"/>
  <c r="AD6" i="10"/>
  <c r="AD7" i="4"/>
  <c r="AD7" i="8"/>
  <c r="AD7" i="10"/>
  <c r="AD8" i="10"/>
  <c r="AD9" i="4"/>
  <c r="AD9" i="10"/>
  <c r="AD10" i="4"/>
  <c r="AD10" i="10"/>
  <c r="AD11" i="4"/>
  <c r="AD11" i="10"/>
  <c r="AD12" i="4"/>
  <c r="AD12" i="7"/>
  <c r="AD12" i="10"/>
  <c r="AD13" i="4"/>
  <c r="AD13" i="10"/>
  <c r="AD14" i="10"/>
  <c r="AF14" i="10"/>
  <c r="C3" i="10"/>
  <c r="C4" i="10"/>
  <c r="C5" i="10"/>
  <c r="C6" i="10"/>
  <c r="C7" i="10"/>
  <c r="C8" i="10"/>
  <c r="C9" i="10"/>
  <c r="C10" i="10"/>
  <c r="C11" i="10"/>
  <c r="C12" i="10"/>
  <c r="C13" i="10"/>
  <c r="C14" i="10"/>
  <c r="E3" i="10"/>
  <c r="E4" i="10"/>
  <c r="E5" i="10"/>
  <c r="E6" i="10"/>
  <c r="E7" i="10"/>
  <c r="E8" i="10"/>
  <c r="E9" i="10"/>
  <c r="E10" i="10"/>
  <c r="E11" i="10"/>
  <c r="E12" i="10"/>
  <c r="E13" i="10"/>
  <c r="E14" i="10"/>
  <c r="G3" i="10"/>
  <c r="G4" i="10"/>
  <c r="G5" i="10"/>
  <c r="G6" i="10"/>
  <c r="G7" i="10"/>
  <c r="G8" i="10"/>
  <c r="G9" i="10"/>
  <c r="G10" i="10"/>
  <c r="G11" i="10"/>
  <c r="G12" i="10"/>
  <c r="G13" i="10"/>
  <c r="G14" i="10"/>
  <c r="I3" i="1"/>
  <c r="I3" i="10"/>
  <c r="I4" i="10"/>
  <c r="I5" i="10"/>
  <c r="I6" i="10"/>
  <c r="I7" i="10"/>
  <c r="I8" i="10"/>
  <c r="I9" i="10"/>
  <c r="I10" i="10"/>
  <c r="I11" i="2"/>
  <c r="I11" i="10"/>
  <c r="I12" i="10"/>
  <c r="I13" i="10"/>
  <c r="I14" i="10"/>
  <c r="K3" i="10"/>
  <c r="K4" i="10"/>
  <c r="K5" i="10"/>
  <c r="K6" i="10"/>
  <c r="K7" i="3"/>
  <c r="K7" i="10"/>
  <c r="K8" i="10"/>
  <c r="K9" i="10"/>
  <c r="K10" i="10"/>
  <c r="K11" i="1"/>
  <c r="K11" i="3"/>
  <c r="K11" i="10"/>
  <c r="K12" i="3"/>
  <c r="K12" i="10"/>
  <c r="K13" i="4"/>
  <c r="K13" i="10"/>
  <c r="K14" i="10"/>
  <c r="M3" i="2"/>
  <c r="M3" i="4"/>
  <c r="M3" i="10"/>
  <c r="M4" i="10"/>
  <c r="M5" i="10"/>
  <c r="M6" i="7"/>
  <c r="M6" i="10"/>
  <c r="M7" i="4"/>
  <c r="M7" i="7"/>
  <c r="M7" i="10"/>
  <c r="M8" i="10"/>
  <c r="M9" i="10"/>
  <c r="M10" i="4"/>
  <c r="M10" i="7"/>
  <c r="M10" i="10"/>
  <c r="M11" i="6"/>
  <c r="M11" i="4"/>
  <c r="M11" i="10"/>
  <c r="M12" i="10"/>
  <c r="M13" i="4"/>
  <c r="M13" i="7"/>
  <c r="M13" i="10"/>
  <c r="M14" i="10"/>
  <c r="O3" i="1"/>
  <c r="O3" i="2"/>
  <c r="O3" i="10"/>
  <c r="O4" i="10"/>
  <c r="O5" i="10"/>
  <c r="O6" i="10"/>
  <c r="O7" i="10"/>
  <c r="O8" i="10"/>
  <c r="O9" i="10"/>
  <c r="O10" i="4"/>
  <c r="O10" i="10"/>
  <c r="O11" i="10"/>
  <c r="O12" i="5"/>
  <c r="O12" i="10"/>
  <c r="O13" i="10"/>
  <c r="O14" i="10"/>
  <c r="Q3" i="10"/>
  <c r="Q4" i="10"/>
  <c r="Q5" i="10"/>
  <c r="Q6" i="10"/>
  <c r="Q7" i="10"/>
  <c r="Q8" i="10"/>
  <c r="Q9" i="10"/>
  <c r="Q10" i="10"/>
  <c r="Q11" i="1"/>
  <c r="Q11" i="10"/>
  <c r="Q12" i="10"/>
  <c r="Q13" i="10"/>
  <c r="Q14" i="10"/>
  <c r="S3" i="2"/>
  <c r="S3" i="4"/>
  <c r="S3" i="7"/>
  <c r="S3" i="10"/>
  <c r="S4" i="5"/>
  <c r="S4" i="10"/>
  <c r="S5" i="10"/>
  <c r="S6" i="4"/>
  <c r="S6" i="5"/>
  <c r="S6" i="10"/>
  <c r="S7" i="1"/>
  <c r="S7" i="7"/>
  <c r="S7" i="10"/>
  <c r="S8" i="5"/>
  <c r="S8" i="10"/>
  <c r="S9" i="10"/>
  <c r="S10" i="4"/>
  <c r="S10" i="5"/>
  <c r="S10" i="7"/>
  <c r="S10" i="10"/>
  <c r="S11" i="6"/>
  <c r="S11" i="3"/>
  <c r="S11" i="4"/>
  <c r="S11" i="5"/>
  <c r="S11" i="10"/>
  <c r="S12" i="7"/>
  <c r="S12" i="10"/>
  <c r="S13" i="5"/>
  <c r="S13" i="7"/>
  <c r="S13" i="10"/>
  <c r="S14" i="10"/>
  <c r="U3" i="1"/>
  <c r="U3" i="10"/>
  <c r="U4" i="2"/>
  <c r="U4" i="3"/>
  <c r="U4" i="8"/>
  <c r="U4" i="10"/>
  <c r="U5" i="3"/>
  <c r="U5" i="10"/>
  <c r="U6" i="3"/>
  <c r="U6" i="8"/>
  <c r="U6" i="10"/>
  <c r="U7" i="3"/>
  <c r="U7" i="10"/>
  <c r="U8" i="3"/>
  <c r="U8" i="10"/>
  <c r="U9" i="3"/>
  <c r="U9" i="5"/>
  <c r="U9" i="10"/>
  <c r="U10" i="3"/>
  <c r="U10" i="4"/>
  <c r="U10" i="5"/>
  <c r="U10" i="10"/>
  <c r="U11" i="3"/>
  <c r="U11" i="10"/>
  <c r="U12" i="10"/>
  <c r="U13" i="10"/>
  <c r="U14" i="10"/>
  <c r="W3" i="10"/>
  <c r="W4" i="4"/>
  <c r="W4" i="10"/>
  <c r="W5" i="4"/>
  <c r="W5" i="10"/>
  <c r="W6" i="10"/>
  <c r="W7" i="4"/>
  <c r="W7" i="10"/>
  <c r="W8" i="10"/>
  <c r="W9" i="10"/>
  <c r="W10" i="10"/>
  <c r="W11" i="10"/>
  <c r="W12" i="10"/>
  <c r="W13" i="4"/>
  <c r="W13" i="10"/>
  <c r="W14" i="10"/>
  <c r="Y3" i="4"/>
  <c r="Y3" i="7"/>
  <c r="Y3" i="10"/>
  <c r="Y4" i="7"/>
  <c r="Y4" i="10"/>
  <c r="Y5" i="5"/>
  <c r="Y5" i="10"/>
  <c r="Y6" i="10"/>
  <c r="Y7" i="1"/>
  <c r="Y7" i="5"/>
  <c r="Y7" i="7"/>
  <c r="Y7" i="10"/>
  <c r="Y8" i="10"/>
  <c r="Y9" i="10"/>
  <c r="Y10" i="4"/>
  <c r="Y10" i="7"/>
  <c r="Y10" i="8"/>
  <c r="Y10" i="10"/>
  <c r="Y11" i="6"/>
  <c r="Y11" i="4"/>
  <c r="Y11" i="5"/>
  <c r="Y11" i="10"/>
  <c r="Y12" i="7"/>
  <c r="Y12" i="10"/>
  <c r="Y13" i="4"/>
  <c r="Y13" i="7"/>
  <c r="Y13" i="10"/>
  <c r="Y14" i="10"/>
  <c r="AA3" i="1"/>
  <c r="AA3" i="10"/>
  <c r="AA4" i="10"/>
  <c r="AA5" i="8"/>
  <c r="AA5" i="10"/>
  <c r="AA6" i="10"/>
  <c r="AA7" i="10"/>
  <c r="AA8" i="10"/>
  <c r="AA9" i="10"/>
  <c r="AA10" i="10"/>
  <c r="AA11" i="3"/>
  <c r="AA11" i="10"/>
  <c r="AA12" i="10"/>
  <c r="AA13" i="10"/>
  <c r="AA14" i="10"/>
  <c r="AC3" i="1"/>
  <c r="AC3" i="3"/>
  <c r="AC3" i="10"/>
  <c r="AC4" i="10"/>
  <c r="AC5" i="7"/>
  <c r="AC5" i="10"/>
  <c r="AC6" i="7"/>
  <c r="AC6" i="10"/>
  <c r="AC7" i="4"/>
  <c r="AC7" i="10"/>
  <c r="AC8" i="7"/>
  <c r="AC8" i="10"/>
  <c r="AC9" i="4"/>
  <c r="AC9" i="7"/>
  <c r="AC9" i="10"/>
  <c r="AC10" i="7"/>
  <c r="AC10" i="10"/>
  <c r="AC11" i="6"/>
  <c r="AC11" i="3"/>
  <c r="AC11" i="7"/>
  <c r="AC11" i="10"/>
  <c r="AC12" i="7"/>
  <c r="AC12" i="10"/>
  <c r="AC13" i="4"/>
  <c r="AC13" i="10"/>
  <c r="AC14" i="10"/>
  <c r="AE3" i="4"/>
  <c r="AE3" i="5"/>
  <c r="AE3" i="7"/>
  <c r="AE3" i="10"/>
  <c r="AE4" i="10"/>
  <c r="AE5" i="7"/>
  <c r="AE5" i="10"/>
  <c r="AE6" i="4"/>
  <c r="AE6" i="8"/>
  <c r="AE6" i="10"/>
  <c r="AE7" i="1"/>
  <c r="AE7" i="4"/>
  <c r="AE7" i="5"/>
  <c r="AE7" i="7"/>
  <c r="AE7" i="10"/>
  <c r="AE8" i="10"/>
  <c r="AE9" i="7"/>
  <c r="AE9" i="8"/>
  <c r="AE9" i="10"/>
  <c r="AE10" i="7"/>
  <c r="AE10" i="8"/>
  <c r="AE10" i="10"/>
  <c r="AE11" i="6"/>
  <c r="AE11" i="4"/>
  <c r="AE11" i="5"/>
  <c r="AE11" i="10"/>
  <c r="AE12" i="7"/>
  <c r="AE12" i="8"/>
  <c r="AE12" i="10"/>
  <c r="AE13" i="4"/>
  <c r="AE13" i="7"/>
  <c r="AE13" i="10"/>
  <c r="AE14" i="10"/>
  <c r="AG14" i="10"/>
  <c r="AH14" i="10"/>
  <c r="AI14" i="10"/>
  <c r="AJ14" i="10"/>
  <c r="AJ15" i="10"/>
  <c r="AH15" i="10"/>
  <c r="AF15" i="10"/>
  <c r="AF16" i="10"/>
  <c r="AD15" i="10"/>
  <c r="AD16" i="10"/>
  <c r="AB15" i="10"/>
  <c r="AB16" i="10"/>
  <c r="Z15" i="10"/>
  <c r="Z16" i="10"/>
  <c r="X15" i="10"/>
  <c r="X16" i="10"/>
  <c r="V15" i="10"/>
  <c r="V16" i="10"/>
  <c r="T15" i="10"/>
  <c r="T16" i="10"/>
  <c r="R15" i="10"/>
  <c r="R16" i="10"/>
  <c r="P15" i="10"/>
  <c r="P16" i="10"/>
  <c r="N15" i="10"/>
  <c r="N16" i="10"/>
  <c r="L15" i="10"/>
  <c r="L16" i="10"/>
  <c r="J15" i="10"/>
  <c r="J16" i="10"/>
  <c r="H15" i="10"/>
  <c r="H16" i="10"/>
  <c r="F15" i="10"/>
  <c r="F16" i="10"/>
  <c r="D15" i="10"/>
  <c r="D16" i="10"/>
  <c r="B15" i="10"/>
  <c r="B16" i="10"/>
  <c r="AC14" i="6"/>
  <c r="O14" i="6"/>
  <c r="K14" i="6"/>
  <c r="C14" i="6"/>
  <c r="E14" i="6"/>
  <c r="G14" i="6"/>
  <c r="I14" i="6"/>
  <c r="M14" i="6"/>
  <c r="Q14" i="6"/>
  <c r="S14" i="6"/>
  <c r="U14" i="6"/>
  <c r="W14" i="6"/>
  <c r="Y14" i="6"/>
  <c r="AA14" i="6"/>
  <c r="AE14" i="6"/>
  <c r="AG14" i="6"/>
  <c r="B14" i="6"/>
  <c r="D14" i="6"/>
  <c r="F14" i="6"/>
  <c r="H14" i="6"/>
  <c r="J14" i="6"/>
  <c r="L14" i="6"/>
  <c r="N14" i="6"/>
  <c r="P14" i="6"/>
  <c r="R14" i="6"/>
  <c r="T14" i="6"/>
  <c r="V14" i="6"/>
  <c r="X14" i="6"/>
  <c r="Z14" i="6"/>
  <c r="AB14" i="6"/>
  <c r="AD14" i="6"/>
  <c r="AF14" i="6"/>
  <c r="AF15" i="6"/>
  <c r="AE15" i="6"/>
  <c r="AD15" i="6"/>
  <c r="AE16" i="6"/>
  <c r="S15" i="6"/>
  <c r="R15" i="6"/>
  <c r="S16" i="6"/>
  <c r="U14" i="3"/>
  <c r="T15" i="3"/>
  <c r="T14" i="3"/>
  <c r="U15" i="3"/>
  <c r="U16" i="3"/>
  <c r="S14" i="3"/>
  <c r="S15" i="3"/>
  <c r="R14" i="3"/>
  <c r="R15" i="3"/>
  <c r="S16" i="3"/>
  <c r="AD15" i="4"/>
  <c r="AE15" i="4"/>
  <c r="AE16" i="4"/>
  <c r="X15" i="4"/>
  <c r="Y15" i="4"/>
  <c r="Y16" i="4"/>
  <c r="B14" i="2"/>
  <c r="C14" i="2"/>
  <c r="B15" i="2"/>
  <c r="D14" i="2"/>
  <c r="E14" i="2"/>
  <c r="D15" i="2"/>
  <c r="F14" i="2"/>
  <c r="G14" i="2"/>
  <c r="F15" i="2"/>
  <c r="H14" i="2"/>
  <c r="I14" i="2"/>
  <c r="H15" i="2"/>
  <c r="J14" i="2"/>
  <c r="K14" i="2"/>
  <c r="J15" i="2"/>
  <c r="L14" i="2"/>
  <c r="M14" i="2"/>
  <c r="L15" i="2"/>
  <c r="N14" i="2"/>
  <c r="O14" i="2"/>
  <c r="N15" i="2"/>
  <c r="P14" i="2"/>
  <c r="Q14" i="2"/>
  <c r="P15" i="2"/>
  <c r="R14" i="2"/>
  <c r="S14" i="2"/>
  <c r="R15" i="2"/>
  <c r="T14" i="2"/>
  <c r="U14" i="2"/>
  <c r="T15" i="2"/>
  <c r="V14" i="2"/>
  <c r="W14" i="2"/>
  <c r="V15" i="2"/>
  <c r="X14" i="2"/>
  <c r="Y14" i="2"/>
  <c r="X15" i="2"/>
  <c r="Z14" i="2"/>
  <c r="AA14" i="2"/>
  <c r="Z15" i="2"/>
  <c r="AB14" i="2"/>
  <c r="AC14" i="2"/>
  <c r="AB15" i="2"/>
  <c r="AD14" i="2"/>
  <c r="AE14" i="2"/>
  <c r="AD15" i="2"/>
  <c r="AH15" i="2"/>
  <c r="AH16" i="2"/>
  <c r="B14" i="1"/>
  <c r="C14" i="1"/>
  <c r="B15" i="1"/>
  <c r="D14" i="1"/>
  <c r="E14" i="1"/>
  <c r="D15" i="1"/>
  <c r="F14" i="1"/>
  <c r="G14" i="1"/>
  <c r="F15" i="1"/>
  <c r="H14" i="1"/>
  <c r="I14" i="1"/>
  <c r="H15" i="1"/>
  <c r="J14" i="1"/>
  <c r="K14" i="1"/>
  <c r="J15" i="1"/>
  <c r="L14" i="1"/>
  <c r="M14" i="1"/>
  <c r="L15" i="1"/>
  <c r="N14" i="1"/>
  <c r="O14" i="1"/>
  <c r="N15" i="1"/>
  <c r="P14" i="1"/>
  <c r="Q14" i="1"/>
  <c r="P15" i="1"/>
  <c r="R14" i="1"/>
  <c r="S14" i="1"/>
  <c r="R15" i="1"/>
  <c r="T14" i="1"/>
  <c r="U14" i="1"/>
  <c r="T15" i="1"/>
  <c r="V14" i="1"/>
  <c r="W14" i="1"/>
  <c r="V15" i="1"/>
  <c r="X14" i="1"/>
  <c r="Y14" i="1"/>
  <c r="X15" i="1"/>
  <c r="Z14" i="1"/>
  <c r="AA14" i="1"/>
  <c r="Z15" i="1"/>
  <c r="AB14" i="1"/>
  <c r="AC14" i="1"/>
  <c r="AB15" i="1"/>
  <c r="AD14" i="1"/>
  <c r="AE14" i="1"/>
  <c r="AD15" i="1"/>
  <c r="AH15" i="1"/>
  <c r="AF14" i="1"/>
  <c r="AG14" i="1"/>
  <c r="AH14" i="1"/>
  <c r="B16" i="1"/>
  <c r="D16" i="1"/>
  <c r="F16" i="1"/>
  <c r="H16" i="1"/>
  <c r="J16" i="1"/>
  <c r="L16" i="1"/>
  <c r="N16" i="1"/>
  <c r="P16" i="1"/>
  <c r="R16" i="1"/>
  <c r="T16" i="1"/>
  <c r="V16" i="1"/>
  <c r="X16" i="1"/>
  <c r="Z16" i="1"/>
  <c r="AB16" i="1"/>
  <c r="AD16" i="1"/>
  <c r="AF16" i="1"/>
  <c r="AH16" i="1"/>
  <c r="AF14" i="2"/>
  <c r="AG14" i="2"/>
  <c r="AH14" i="2"/>
  <c r="B14" i="3"/>
  <c r="C14" i="3"/>
  <c r="B15" i="3"/>
  <c r="D14" i="3"/>
  <c r="E14" i="3"/>
  <c r="D15" i="3"/>
  <c r="F14" i="3"/>
  <c r="G14" i="3"/>
  <c r="F15" i="3"/>
  <c r="H14" i="3"/>
  <c r="I14" i="3"/>
  <c r="H15" i="3"/>
  <c r="J14" i="3"/>
  <c r="K14" i="3"/>
  <c r="J15" i="3"/>
  <c r="L14" i="3"/>
  <c r="M14" i="3"/>
  <c r="L15" i="3"/>
  <c r="N14" i="3"/>
  <c r="O14" i="3"/>
  <c r="N15" i="3"/>
  <c r="P14" i="3"/>
  <c r="Q14" i="3"/>
  <c r="P15" i="3"/>
  <c r="V14" i="3"/>
  <c r="W14" i="3"/>
  <c r="V15" i="3"/>
  <c r="X14" i="3"/>
  <c r="Y14" i="3"/>
  <c r="X15" i="3"/>
  <c r="Z14" i="3"/>
  <c r="AA14" i="3"/>
  <c r="Z15" i="3"/>
  <c r="AB14" i="3"/>
  <c r="AC14" i="3"/>
  <c r="AB15" i="3"/>
  <c r="AD14" i="3"/>
  <c r="AE14" i="3"/>
  <c r="AD15" i="3"/>
  <c r="AH15" i="3"/>
  <c r="AF14" i="3"/>
  <c r="AG14" i="3"/>
  <c r="AH14" i="3"/>
  <c r="B14" i="5"/>
  <c r="C14" i="5"/>
  <c r="B15" i="5"/>
  <c r="D14" i="5"/>
  <c r="E14" i="5"/>
  <c r="D15" i="5"/>
  <c r="F14" i="5"/>
  <c r="G14" i="5"/>
  <c r="F15" i="5"/>
  <c r="H14" i="5"/>
  <c r="I14" i="5"/>
  <c r="H15" i="5"/>
  <c r="J14" i="5"/>
  <c r="K14" i="5"/>
  <c r="J15" i="5"/>
  <c r="L14" i="5"/>
  <c r="M14" i="5"/>
  <c r="L15" i="5"/>
  <c r="N14" i="5"/>
  <c r="O14" i="5"/>
  <c r="N15" i="5"/>
  <c r="P14" i="5"/>
  <c r="Q14" i="5"/>
  <c r="P15" i="5"/>
  <c r="R14" i="5"/>
  <c r="S14" i="5"/>
  <c r="T14" i="5"/>
  <c r="U14" i="5"/>
  <c r="T15" i="5"/>
  <c r="V14" i="5"/>
  <c r="W14" i="5"/>
  <c r="V15" i="5"/>
  <c r="X14" i="5"/>
  <c r="Y14" i="5"/>
  <c r="X15" i="5"/>
  <c r="Z14" i="5"/>
  <c r="AA14" i="5"/>
  <c r="Z15" i="5"/>
  <c r="AB14" i="5"/>
  <c r="AC14" i="5"/>
  <c r="AB15" i="5"/>
  <c r="AD14" i="5"/>
  <c r="AE14" i="5"/>
  <c r="AD15" i="5"/>
  <c r="AH15" i="5"/>
  <c r="AF14" i="5"/>
  <c r="AG14" i="5"/>
  <c r="AH14" i="5"/>
  <c r="B15" i="6"/>
  <c r="D15" i="6"/>
  <c r="F15" i="6"/>
  <c r="H15" i="6"/>
  <c r="J15" i="6"/>
  <c r="L15" i="6"/>
  <c r="N15" i="6"/>
  <c r="P15" i="6"/>
  <c r="T15" i="6"/>
  <c r="V15" i="6"/>
  <c r="X15" i="6"/>
  <c r="Z15" i="6"/>
  <c r="AH15" i="6"/>
  <c r="AH14" i="6"/>
  <c r="B14" i="7"/>
  <c r="C14" i="7"/>
  <c r="B15" i="7"/>
  <c r="D14" i="7"/>
  <c r="E14" i="7"/>
  <c r="D15" i="7"/>
  <c r="F14" i="7"/>
  <c r="G14" i="7"/>
  <c r="F15" i="7"/>
  <c r="H14" i="7"/>
  <c r="I14" i="7"/>
  <c r="H15" i="7"/>
  <c r="J14" i="7"/>
  <c r="K14" i="7"/>
  <c r="J15" i="7"/>
  <c r="L14" i="7"/>
  <c r="M14" i="7"/>
  <c r="L15" i="7"/>
  <c r="N14" i="7"/>
  <c r="O14" i="7"/>
  <c r="N15" i="7"/>
  <c r="P14" i="7"/>
  <c r="Q14" i="7"/>
  <c r="P15" i="7"/>
  <c r="R14" i="7"/>
  <c r="S14" i="7"/>
  <c r="R15" i="7"/>
  <c r="T14" i="7"/>
  <c r="U14" i="7"/>
  <c r="T15" i="7"/>
  <c r="V14" i="7"/>
  <c r="W14" i="7"/>
  <c r="V15" i="7"/>
  <c r="X14" i="7"/>
  <c r="Y14" i="7"/>
  <c r="X15" i="7"/>
  <c r="Z14" i="7"/>
  <c r="AA14" i="7"/>
  <c r="Z15" i="7"/>
  <c r="AB14" i="7"/>
  <c r="AC14" i="7"/>
  <c r="AB15" i="7"/>
  <c r="AD14" i="7"/>
  <c r="AE14" i="7"/>
  <c r="AD15" i="7"/>
  <c r="AH15" i="7"/>
  <c r="AF14" i="7"/>
  <c r="AG14" i="7"/>
  <c r="AH14" i="7"/>
  <c r="W14" i="8"/>
  <c r="V14" i="8"/>
  <c r="V15" i="8"/>
  <c r="Y14" i="8"/>
  <c r="X14" i="8"/>
  <c r="X15" i="8"/>
  <c r="R14" i="8"/>
  <c r="S14" i="8"/>
  <c r="R15" i="8"/>
  <c r="L14" i="8"/>
  <c r="M14" i="8"/>
  <c r="L15" i="8"/>
  <c r="T14" i="8"/>
  <c r="U14" i="8"/>
  <c r="T15" i="8"/>
  <c r="Z14" i="8"/>
  <c r="AA14" i="8"/>
  <c r="Z15" i="8"/>
  <c r="AD14" i="8"/>
  <c r="AE14" i="8"/>
  <c r="Q14" i="8"/>
  <c r="P14" i="8"/>
  <c r="P15" i="8"/>
  <c r="B14" i="8"/>
  <c r="C14" i="8"/>
  <c r="B15" i="8"/>
  <c r="D14" i="8"/>
  <c r="E14" i="8"/>
  <c r="D15" i="8"/>
  <c r="F14" i="8"/>
  <c r="G14" i="8"/>
  <c r="F15" i="8"/>
  <c r="H14" i="8"/>
  <c r="I14" i="8"/>
  <c r="H15" i="8"/>
  <c r="J14" i="8"/>
  <c r="K14" i="8"/>
  <c r="J15" i="8"/>
  <c r="N14" i="8"/>
  <c r="O14" i="8"/>
  <c r="N15" i="8"/>
  <c r="AB14" i="8"/>
  <c r="AC14" i="8"/>
  <c r="AB15" i="8"/>
  <c r="AH15" i="8"/>
  <c r="AH16" i="8"/>
  <c r="AF16" i="8"/>
  <c r="AD16" i="8"/>
  <c r="AB16" i="8"/>
  <c r="Z16" i="8"/>
  <c r="X16" i="8"/>
  <c r="V16" i="8"/>
  <c r="T16" i="8"/>
  <c r="R16" i="8"/>
  <c r="P16" i="8"/>
  <c r="N16" i="8"/>
  <c r="L16" i="8"/>
  <c r="J16" i="8"/>
  <c r="H16" i="8"/>
  <c r="F16" i="8"/>
  <c r="D16" i="8"/>
  <c r="B16" i="8"/>
  <c r="AH16" i="7"/>
  <c r="AF16" i="7"/>
  <c r="AD16" i="7"/>
  <c r="AB16" i="7"/>
  <c r="Z16" i="7"/>
  <c r="X16" i="7"/>
  <c r="V16" i="7"/>
  <c r="T16" i="7"/>
  <c r="R16" i="7"/>
  <c r="P16" i="7"/>
  <c r="N16" i="7"/>
  <c r="L16" i="7"/>
  <c r="J16" i="7"/>
  <c r="H16" i="7"/>
  <c r="F16" i="7"/>
  <c r="D16" i="7"/>
  <c r="B16" i="7"/>
  <c r="AH16" i="6"/>
  <c r="AF16" i="6"/>
  <c r="AD16" i="6"/>
  <c r="AB16" i="6"/>
  <c r="Z16" i="6"/>
  <c r="X16" i="6"/>
  <c r="V16" i="6"/>
  <c r="T16" i="6"/>
  <c r="R16" i="6"/>
  <c r="P16" i="6"/>
  <c r="N16" i="6"/>
  <c r="L16" i="6"/>
  <c r="J16" i="6"/>
  <c r="H16" i="6"/>
  <c r="F16" i="6"/>
  <c r="D16" i="6"/>
  <c r="B16" i="6"/>
  <c r="AH16" i="5"/>
  <c r="AF16" i="5"/>
  <c r="AD16" i="5"/>
  <c r="AB16" i="5"/>
  <c r="Z16" i="5"/>
  <c r="X16" i="5"/>
  <c r="V16" i="5"/>
  <c r="T16" i="5"/>
  <c r="R16" i="5"/>
  <c r="P16" i="5"/>
  <c r="N16" i="5"/>
  <c r="L16" i="5"/>
  <c r="J16" i="5"/>
  <c r="H16" i="5"/>
  <c r="F16" i="5"/>
  <c r="D16" i="5"/>
  <c r="B16" i="5"/>
  <c r="AH16" i="3"/>
  <c r="AF16" i="3"/>
  <c r="AD16" i="3"/>
  <c r="AB16" i="3"/>
  <c r="Z16" i="3"/>
  <c r="X16" i="3"/>
  <c r="V16" i="3"/>
  <c r="T16" i="3"/>
  <c r="R16" i="3"/>
  <c r="P16" i="3"/>
  <c r="N16" i="3"/>
  <c r="L16" i="3"/>
  <c r="J16" i="3"/>
  <c r="H16" i="3"/>
  <c r="F16" i="3"/>
  <c r="D16" i="3"/>
  <c r="B16" i="3"/>
  <c r="AF16" i="2"/>
  <c r="AD16" i="2"/>
  <c r="AB16" i="2"/>
  <c r="Z16" i="2"/>
  <c r="X16" i="2"/>
  <c r="V16" i="2"/>
  <c r="T16" i="2"/>
  <c r="R16" i="2"/>
  <c r="P16" i="2"/>
  <c r="N16" i="2"/>
  <c r="L16" i="2"/>
  <c r="J16" i="2"/>
  <c r="H16" i="2"/>
  <c r="F16" i="2"/>
  <c r="D16" i="2"/>
  <c r="B16" i="2"/>
  <c r="V14" i="4"/>
  <c r="W14" i="4"/>
  <c r="V15" i="4"/>
  <c r="B14" i="4"/>
  <c r="C14" i="4"/>
  <c r="B15" i="4"/>
  <c r="D14" i="4"/>
  <c r="E14" i="4"/>
  <c r="D15" i="4"/>
  <c r="F14" i="4"/>
  <c r="G14" i="4"/>
  <c r="F15" i="4"/>
  <c r="H14" i="4"/>
  <c r="I14" i="4"/>
  <c r="H15" i="4"/>
  <c r="J14" i="4"/>
  <c r="K14" i="4"/>
  <c r="J15" i="4"/>
  <c r="L14" i="4"/>
  <c r="M14" i="4"/>
  <c r="L15" i="4"/>
  <c r="N14" i="4"/>
  <c r="O14" i="4"/>
  <c r="N15" i="4"/>
  <c r="P14" i="4"/>
  <c r="Q14" i="4"/>
  <c r="P15" i="4"/>
  <c r="R14" i="4"/>
  <c r="S14" i="4"/>
  <c r="R15" i="4"/>
  <c r="T14" i="4"/>
  <c r="U14" i="4"/>
  <c r="T15" i="4"/>
  <c r="X14" i="4"/>
  <c r="Y14" i="4"/>
  <c r="Z14" i="4"/>
  <c r="AA14" i="4"/>
  <c r="Z15" i="4"/>
  <c r="AB14" i="4"/>
  <c r="AC14" i="4"/>
  <c r="AB15" i="4"/>
  <c r="AD14" i="4"/>
  <c r="AE14" i="4"/>
  <c r="AH15" i="4"/>
  <c r="AH16" i="4"/>
  <c r="AD16" i="4"/>
  <c r="AF14" i="4"/>
  <c r="AG14" i="4"/>
  <c r="AF15" i="4"/>
  <c r="AF16" i="4"/>
  <c r="R16" i="4"/>
  <c r="T16" i="4"/>
  <c r="V16" i="4"/>
  <c r="X16" i="4"/>
  <c r="Z16" i="4"/>
  <c r="AB16" i="4"/>
  <c r="D16" i="4"/>
  <c r="F16" i="4"/>
  <c r="H16" i="4"/>
  <c r="J16" i="4"/>
  <c r="L16" i="4"/>
  <c r="N16" i="4"/>
  <c r="P16" i="4"/>
  <c r="B16" i="4"/>
  <c r="AG11" i="10"/>
  <c r="AG11" i="1"/>
  <c r="AF14" i="8"/>
  <c r="AG14" i="8"/>
  <c r="AH14" i="8"/>
  <c r="AF13" i="8"/>
  <c r="AG13" i="8"/>
  <c r="AH13" i="8"/>
  <c r="AF12" i="8"/>
  <c r="AG12" i="8"/>
  <c r="AH12" i="8"/>
  <c r="AF11" i="8"/>
  <c r="AG11" i="8"/>
  <c r="AH11" i="8"/>
  <c r="AF10" i="8"/>
  <c r="AG10" i="8"/>
  <c r="AH10" i="8"/>
  <c r="AF9" i="8"/>
  <c r="AG9" i="8"/>
  <c r="AH9" i="8"/>
  <c r="AF8" i="8"/>
  <c r="AG8" i="8"/>
  <c r="AH8" i="8"/>
  <c r="AF7" i="8"/>
  <c r="AG7" i="8"/>
  <c r="AH7" i="8"/>
  <c r="AF6" i="8"/>
  <c r="AG6" i="8"/>
  <c r="AH6" i="8"/>
  <c r="AF5" i="8"/>
  <c r="AG5" i="8"/>
  <c r="AH5" i="8"/>
  <c r="AF4" i="8"/>
  <c r="AG4" i="8"/>
  <c r="AH4" i="8"/>
  <c r="AF3" i="8"/>
  <c r="AG3" i="8"/>
  <c r="AH3" i="8"/>
  <c r="AF13" i="7"/>
  <c r="AG13" i="7"/>
  <c r="AH13" i="7"/>
  <c r="AF12" i="7"/>
  <c r="AG12" i="7"/>
  <c r="AH12" i="7"/>
  <c r="AF11" i="7"/>
  <c r="AG11" i="7"/>
  <c r="AH11" i="7"/>
  <c r="AF10" i="7"/>
  <c r="AG10" i="7"/>
  <c r="AH10" i="7"/>
  <c r="AF9" i="7"/>
  <c r="AG9" i="7"/>
  <c r="AH9" i="7"/>
  <c r="AF8" i="7"/>
  <c r="AG8" i="7"/>
  <c r="AH8" i="7"/>
  <c r="AF7" i="7"/>
  <c r="AG7" i="7"/>
  <c r="AH7" i="7"/>
  <c r="AF6" i="7"/>
  <c r="AG6" i="7"/>
  <c r="AH6" i="7"/>
  <c r="AF5" i="7"/>
  <c r="AG5" i="7"/>
  <c r="AH5" i="7"/>
  <c r="AF4" i="7"/>
  <c r="AG4" i="7"/>
  <c r="AH4" i="7"/>
  <c r="AF3" i="7"/>
  <c r="AG3" i="7"/>
  <c r="AH3" i="7"/>
  <c r="AF13" i="6"/>
  <c r="AG13" i="6"/>
  <c r="AH13" i="6"/>
  <c r="AF12" i="6"/>
  <c r="AG12" i="6"/>
  <c r="AH12" i="6"/>
  <c r="AF11" i="6"/>
  <c r="AG11" i="6"/>
  <c r="AH11" i="6"/>
  <c r="AF10" i="6"/>
  <c r="AG10" i="6"/>
  <c r="AH10" i="6"/>
  <c r="AF9" i="6"/>
  <c r="AG9" i="6"/>
  <c r="AH9" i="6"/>
  <c r="AF8" i="6"/>
  <c r="AG8" i="6"/>
  <c r="AH8" i="6"/>
  <c r="AF7" i="6"/>
  <c r="AG7" i="6"/>
  <c r="AH7" i="6"/>
  <c r="AF6" i="6"/>
  <c r="AG6" i="6"/>
  <c r="AH6" i="6"/>
  <c r="AF5" i="6"/>
  <c r="AG5" i="6"/>
  <c r="AH5" i="6"/>
  <c r="AF4" i="6"/>
  <c r="AG4" i="6"/>
  <c r="AH4" i="6"/>
  <c r="AF3" i="6"/>
  <c r="AG3" i="6"/>
  <c r="AH3" i="6"/>
  <c r="AF13" i="5"/>
  <c r="AG13" i="5"/>
  <c r="AH13" i="5"/>
  <c r="AF12" i="5"/>
  <c r="AG12" i="5"/>
  <c r="AH12" i="5"/>
  <c r="AF11" i="5"/>
  <c r="AG11" i="5"/>
  <c r="AH11" i="5"/>
  <c r="AF10" i="5"/>
  <c r="AG10" i="5"/>
  <c r="AH10" i="5"/>
  <c r="AF9" i="5"/>
  <c r="AG9" i="5"/>
  <c r="AH9" i="5"/>
  <c r="AF8" i="5"/>
  <c r="AG8" i="5"/>
  <c r="AH8" i="5"/>
  <c r="AF7" i="5"/>
  <c r="AG7" i="5"/>
  <c r="AH7" i="5"/>
  <c r="AF6" i="5"/>
  <c r="AG6" i="5"/>
  <c r="AH6" i="5"/>
  <c r="AF5" i="5"/>
  <c r="AG5" i="5"/>
  <c r="AH5" i="5"/>
  <c r="AF4" i="5"/>
  <c r="AG4" i="5"/>
  <c r="AH4" i="5"/>
  <c r="AF3" i="5"/>
  <c r="AG3" i="5"/>
  <c r="AH3" i="5"/>
  <c r="AH14" i="4"/>
  <c r="AF13" i="4"/>
  <c r="AG13" i="4"/>
  <c r="AH13" i="4"/>
  <c r="AF12" i="4"/>
  <c r="AG12" i="4"/>
  <c r="AH12" i="4"/>
  <c r="AF11" i="4"/>
  <c r="AG11" i="4"/>
  <c r="AH11" i="4"/>
  <c r="AF10" i="4"/>
  <c r="AG10" i="4"/>
  <c r="AH10" i="4"/>
  <c r="AF9" i="4"/>
  <c r="AG9" i="4"/>
  <c r="AH9" i="4"/>
  <c r="AF8" i="4"/>
  <c r="AG8" i="4"/>
  <c r="AH8" i="4"/>
  <c r="AF7" i="4"/>
  <c r="AG7" i="4"/>
  <c r="AH7" i="4"/>
  <c r="AF6" i="4"/>
  <c r="AG6" i="4"/>
  <c r="AH6" i="4"/>
  <c r="AF5" i="4"/>
  <c r="AG5" i="4"/>
  <c r="AH5" i="4"/>
  <c r="AF4" i="4"/>
  <c r="AG4" i="4"/>
  <c r="AH4" i="4"/>
  <c r="AF3" i="4"/>
  <c r="AG3" i="4"/>
  <c r="AH3" i="4"/>
  <c r="AF13" i="3"/>
  <c r="AG13" i="3"/>
  <c r="AH13" i="3"/>
  <c r="AF12" i="3"/>
  <c r="AG12" i="3"/>
  <c r="AH12" i="3"/>
  <c r="AF11" i="3"/>
  <c r="AG11" i="3"/>
  <c r="AH11" i="3"/>
  <c r="AF10" i="3"/>
  <c r="AG10" i="3"/>
  <c r="AH10" i="3"/>
  <c r="AF9" i="3"/>
  <c r="AG9" i="3"/>
  <c r="AH9" i="3"/>
  <c r="AF8" i="3"/>
  <c r="AG8" i="3"/>
  <c r="AH8" i="3"/>
  <c r="AF7" i="3"/>
  <c r="AG7" i="3"/>
  <c r="AH7" i="3"/>
  <c r="AF6" i="3"/>
  <c r="AG6" i="3"/>
  <c r="AH6" i="3"/>
  <c r="AF5" i="3"/>
  <c r="AG5" i="3"/>
  <c r="AH5" i="3"/>
  <c r="AF4" i="3"/>
  <c r="AG4" i="3"/>
  <c r="AH4" i="3"/>
  <c r="AF3" i="3"/>
  <c r="AG3" i="3"/>
  <c r="AH3" i="3"/>
  <c r="AF13" i="2"/>
  <c r="AG13" i="2"/>
  <c r="AH13" i="2"/>
  <c r="AF12" i="2"/>
  <c r="AG12" i="2"/>
  <c r="AH12" i="2"/>
  <c r="AF11" i="2"/>
  <c r="AG11" i="2"/>
  <c r="AH11" i="2"/>
  <c r="AF10" i="2"/>
  <c r="AG10" i="2"/>
  <c r="AH10" i="2"/>
  <c r="AF9" i="2"/>
  <c r="AG9" i="2"/>
  <c r="AH9" i="2"/>
  <c r="AF8" i="2"/>
  <c r="AG8" i="2"/>
  <c r="AH8" i="2"/>
  <c r="AF7" i="2"/>
  <c r="AG7" i="2"/>
  <c r="AH7" i="2"/>
  <c r="AF6" i="2"/>
  <c r="AG6" i="2"/>
  <c r="AH6" i="2"/>
  <c r="AF5" i="2"/>
  <c r="AG5" i="2"/>
  <c r="AH5" i="2"/>
  <c r="AF4" i="2"/>
  <c r="AG4" i="2"/>
  <c r="AH4" i="2"/>
  <c r="AF3" i="2"/>
  <c r="AG3" i="2"/>
  <c r="AH3" i="2"/>
  <c r="AG4" i="1"/>
  <c r="AF4" i="1"/>
  <c r="AH4" i="1"/>
  <c r="AG5" i="1"/>
  <c r="AF5" i="1"/>
  <c r="AH5" i="1"/>
  <c r="AG6" i="1"/>
  <c r="AF6" i="1"/>
  <c r="AH6" i="1"/>
  <c r="AG7" i="1"/>
  <c r="AF7" i="1"/>
  <c r="AH7" i="1"/>
  <c r="AG8" i="1"/>
  <c r="AF8" i="1"/>
  <c r="AH8" i="1"/>
  <c r="AG9" i="1"/>
  <c r="AF9" i="1"/>
  <c r="AH9" i="1"/>
  <c r="AG10" i="1"/>
  <c r="AF10" i="1"/>
  <c r="AH10" i="1"/>
  <c r="AF11" i="1"/>
  <c r="AH11" i="1"/>
  <c r="AG12" i="1"/>
  <c r="AF12" i="1"/>
  <c r="AH12" i="1"/>
  <c r="AG13" i="1"/>
  <c r="AF13" i="1"/>
  <c r="AH13" i="1"/>
  <c r="AF3" i="1"/>
  <c r="AG3" i="1"/>
  <c r="AH3" i="1"/>
  <c r="AF11" i="10"/>
  <c r="AH11" i="10"/>
  <c r="AI11" i="10"/>
  <c r="AJ11" i="10"/>
  <c r="AF4" i="10"/>
  <c r="AF5" i="10"/>
  <c r="AF6" i="10"/>
  <c r="AF7" i="10"/>
  <c r="AF8" i="10"/>
  <c r="AF9" i="10"/>
  <c r="AF10" i="10"/>
  <c r="AF12" i="10"/>
  <c r="AF13" i="10"/>
  <c r="AF3" i="10"/>
  <c r="AG3" i="10"/>
  <c r="AH3" i="10"/>
  <c r="AI3" i="10"/>
  <c r="AJ3" i="10"/>
  <c r="AG12" i="10"/>
  <c r="AH12" i="10"/>
  <c r="AG9" i="10"/>
  <c r="AH9" i="10"/>
  <c r="AG8" i="10"/>
  <c r="AH8" i="10"/>
  <c r="AG13" i="10"/>
  <c r="AH13" i="10"/>
  <c r="AI13" i="10"/>
  <c r="AJ13" i="10"/>
  <c r="AI12" i="10"/>
  <c r="AJ12" i="10"/>
  <c r="AG10" i="10"/>
  <c r="AH10" i="10"/>
  <c r="AI10" i="10"/>
  <c r="AJ10" i="10"/>
  <c r="AI9" i="10"/>
  <c r="AJ9" i="10"/>
  <c r="AI8" i="10"/>
  <c r="AJ8" i="10"/>
  <c r="AG7" i="10"/>
  <c r="AH7" i="10"/>
  <c r="AI7" i="10"/>
  <c r="AJ7" i="10"/>
  <c r="AG6" i="10"/>
  <c r="AH6" i="10"/>
  <c r="AI6" i="10"/>
  <c r="AJ6" i="10"/>
  <c r="AG5" i="10"/>
  <c r="AH5" i="10"/>
  <c r="AI5" i="10"/>
  <c r="AJ5" i="10"/>
  <c r="AG4" i="10"/>
  <c r="AH4" i="10"/>
  <c r="AI4" i="10"/>
  <c r="AJ4" i="10"/>
</calcChain>
</file>

<file path=xl/sharedStrings.xml><?xml version="1.0" encoding="utf-8"?>
<sst xmlns="http://schemas.openxmlformats.org/spreadsheetml/2006/main" count="1410" uniqueCount="562">
  <si>
    <t>B1</t>
  </si>
  <si>
    <t>B2</t>
  </si>
  <si>
    <t>B3</t>
  </si>
  <si>
    <t>B4</t>
  </si>
  <si>
    <t>B5</t>
  </si>
  <si>
    <t>B6</t>
  </si>
  <si>
    <t>B7</t>
  </si>
  <si>
    <t>B8</t>
  </si>
  <si>
    <t>B9</t>
  </si>
  <si>
    <t>B10</t>
  </si>
  <si>
    <t>B11</t>
  </si>
  <si>
    <t>B12</t>
  </si>
  <si>
    <t>B13</t>
  </si>
  <si>
    <t>B14</t>
  </si>
  <si>
    <t>B15</t>
  </si>
  <si>
    <t>CNR-IOM</t>
  </si>
  <si>
    <t>CNR-IFN@MI</t>
  </si>
  <si>
    <t>CNR-IFN@TN</t>
  </si>
  <si>
    <t>CNR-IMM@BO</t>
  </si>
  <si>
    <t>CNR-IMM@CT</t>
  </si>
  <si>
    <t>CNR-ISM</t>
  </si>
  <si>
    <t>CNR-NANOTEC</t>
  </si>
  <si>
    <t>CNR-SPIN</t>
  </si>
  <si>
    <t>AREA</t>
  </si>
  <si>
    <t>POLIFAB</t>
  </si>
  <si>
    <t>UNIMI</t>
  </si>
  <si>
    <t>TOTAL</t>
  </si>
  <si>
    <t>acquisti</t>
  </si>
  <si>
    <t>personale</t>
  </si>
  <si>
    <t>FLUSSO</t>
  </si>
  <si>
    <t>OVERALL</t>
  </si>
  <si>
    <t>Indirect</t>
  </si>
  <si>
    <t>GRAND TOTAL</t>
  </si>
  <si>
    <t>IO</t>
  </si>
  <si>
    <t>KPI</t>
  </si>
  <si>
    <t>Deliverables</t>
  </si>
  <si>
    <t>IO1</t>
  </si>
  <si>
    <t>D1.1</t>
  </si>
  <si>
    <t># of periodic reports submitted</t>
  </si>
  <si>
    <t>Full set-up of the governance bodies and operational structure</t>
  </si>
  <si>
    <t>IO1.2</t>
  </si>
  <si>
    <t>B1-15</t>
  </si>
  <si>
    <t>IO1.1</t>
  </si>
  <si>
    <t>First progress report</t>
  </si>
  <si>
    <t>Second progress report</t>
  </si>
  <si>
    <t>Third progress report</t>
  </si>
  <si>
    <t>Identification of a model for the integration of the NFFA-DI RI in the European  context</t>
  </si>
  <si>
    <t># of strategic discussions at European level</t>
  </si>
  <si>
    <t>Report on possible opportunities for the NFFA-DI Ri in the European context</t>
  </si>
  <si>
    <t>NFFA-DI Data Management Plan adoption</t>
  </si>
  <si>
    <t># of sections included in the DMP (sections are: 1) type and format of research data generated/collected; 2) methodologies and standards followed; 3) organization and storage of data; 4) definition of responsible for the various aspects of the project's data management</t>
  </si>
  <si>
    <t>Data Management Plan - First release</t>
  </si>
  <si>
    <t xml:space="preserve">Identification of the most suited methodologies for the FAIRness of the scientific outcomes </t>
  </si>
  <si>
    <t># of in-house data-sets to test the methodology</t>
  </si>
  <si>
    <t>Specification report of the PPP related data integration in the NFFA-DI FAIR protocols</t>
  </si>
  <si>
    <t xml:space="preserve">Definition of the baseline of the scientific outcomes of the RI before upgrade </t>
  </si>
  <si>
    <t xml:space="preserve"># of analysed pre-upgrade publications, presentations and patents </t>
  </si>
  <si>
    <t>Pre-upgrade retrospective monitoring of the NFFA scientific outcomes</t>
  </si>
  <si>
    <t>First analysis of the scientific outcomes of the post-upgrade NFFA-DI RI</t>
  </si>
  <si>
    <t>First post-commissioning monitoring report of the NFFA scientific outcomes</t>
  </si>
  <si>
    <t xml:space="preserve"># of monitored post-upgrade results and publications </t>
  </si>
  <si>
    <t>Draft of bylaws of future consortium</t>
  </si>
  <si>
    <t xml:space="preserve"># of benchmarked European organizations </t>
  </si>
  <si>
    <t xml:space="preserve">Consortium agreement for long-term operation </t>
  </si>
  <si>
    <t>IO2</t>
  </si>
  <si>
    <t>IO3</t>
  </si>
  <si>
    <t>IO4</t>
  </si>
  <si>
    <t>IO5</t>
  </si>
  <si>
    <t>IO6</t>
  </si>
  <si>
    <t>IO7</t>
  </si>
  <si>
    <t>IO8</t>
  </si>
  <si>
    <t>IO9</t>
  </si>
  <si>
    <t>IO10</t>
  </si>
  <si>
    <t>IO2.1</t>
  </si>
  <si>
    <t>IO2.2</t>
  </si>
  <si>
    <t>Definition of interoperability protocols</t>
  </si>
  <si>
    <t># of standardized procedures shared among the consortium</t>
  </si>
  <si>
    <t>Protocols for sample transfer among nodes</t>
  </si>
  <si>
    <t>Nano-safety protocols</t>
  </si>
  <si>
    <t>IO2.3</t>
  </si>
  <si>
    <t>Procedures for real-time monitoring</t>
  </si>
  <si>
    <t># of compatibility tests on data of NFFA-Europe Pilot project</t>
  </si>
  <si>
    <t>IO2.4</t>
  </si>
  <si>
    <t>Online publication of digital catalogue and SEP</t>
  </si>
  <si>
    <t># of functionalities of the SEP</t>
  </si>
  <si>
    <t>IO2.5</t>
  </si>
  <si>
    <t>TLNet team building and operational modalities</t>
  </si>
  <si>
    <t>IO2.6</t>
  </si>
  <si>
    <t>Setup of scientific evaluation protocols for users' proposals</t>
  </si>
  <si>
    <t># of appointed Access Review Panel members</t>
  </si>
  <si>
    <t>Scientific evaluation working scheme</t>
  </si>
  <si>
    <t>Appointment of first Access review Panel Chair and members</t>
  </si>
  <si>
    <t>TECNOL3 M23-30 per tot 7,2 PM</t>
  </si>
  <si>
    <t>TECNOL3 M7-14 per un tot di 7,2 PM</t>
  </si>
  <si>
    <t>TECNOL3 M14-23 per tot 9,6 PM</t>
  </si>
  <si>
    <t>RIC M19-20 per tot 1,5 PM</t>
  </si>
  <si>
    <t>RIC M13-14 per tot 1,5 PM</t>
  </si>
  <si>
    <t>RIC M14-15 per tot 1,5 PM</t>
  </si>
  <si>
    <t>RIC M16-17 per tot 1,5 PM</t>
  </si>
  <si>
    <t>RIC M17-19 per tot 2 PM</t>
  </si>
  <si>
    <t>RIC M21-24 per tot 4 PM</t>
  </si>
  <si>
    <t>RIC1 M18-22 per tot 6 PM</t>
  </si>
  <si>
    <t>RIC1 M23-28 per tot 6 PM</t>
  </si>
  <si>
    <t>RIC2 M22-30 per tot 9PM</t>
  </si>
  <si>
    <t>RIC2 M17-21 per tot 6 PM</t>
  </si>
  <si>
    <t>RIC3 M19-24 per tot 6 PM</t>
  </si>
  <si>
    <t>RIC3 M25-26 per tot 2 PM</t>
  </si>
  <si>
    <t>RIC3 M15-18 per tot 4 PM</t>
  </si>
  <si>
    <t>RIC M17-18 per tot 2 PM</t>
  </si>
  <si>
    <t>RIC M15-16 + M29 per 2+1PM</t>
  </si>
  <si>
    <t>RIC M13-14 per tot 2 PM</t>
  </si>
  <si>
    <t>TECNOL2 M19-30 per tot 12 PM</t>
  </si>
  <si>
    <t>RIC6 M7-30 per tot 24 PM</t>
  </si>
  <si>
    <t>TECNOL1 M13-30 per tot 18 PM</t>
  </si>
  <si>
    <t>TECNOL2 M7-18 per tot 12 PM</t>
  </si>
  <si>
    <t>TECNOL3 M19-30 per tot 12 PM</t>
  </si>
  <si>
    <t>RIC1-2-3 M7-30 per tot 24 PM ciascuno</t>
  </si>
  <si>
    <t>RIC4-5 M13-30 per tot 18 PM ciascuno</t>
  </si>
  <si>
    <t>RIC M19-27 per tot 9 PM</t>
  </si>
  <si>
    <t>RIC M8-12 + M19-27 per tot 5 + 9 PM</t>
  </si>
  <si>
    <t>RIC1-2-3-4 M19-30 per tot 12 PM ciascuno</t>
  </si>
  <si>
    <t>RIC5-6 M13-24 per tot 12 PM ciascuno</t>
  </si>
  <si>
    <t>RIC1-2-3-4 M7-18 per tot 12 PM ciascuno</t>
  </si>
  <si>
    <t>CTER1-2 M7-30 per 24 PM ciascuno</t>
  </si>
  <si>
    <t>TECNOL1 M5-28 per tot 24 PM</t>
  </si>
  <si>
    <t>IM M5-28 per tot 24 PM</t>
  </si>
  <si>
    <t>FUNZ M5-28 per tot 24 PM</t>
  </si>
  <si>
    <t>TECNOL1 M5-28 x 24 PM</t>
  </si>
  <si>
    <t>IM M5-28 x 24 PM</t>
  </si>
  <si>
    <t>TECNOL2 M7-30 per 24 PM</t>
  </si>
  <si>
    <t>TECNOL3 M7-30 x 24 PM</t>
  </si>
  <si>
    <t>RIC1-2-3-4 M7-30 x 24 PM</t>
  </si>
  <si>
    <t>CTER1-2 M7-30 x 24 PM</t>
  </si>
  <si>
    <t>RIC5-6 M13-24 x 12 PM</t>
  </si>
  <si>
    <t>RIC7 M5-28 per tot 24 PM</t>
  </si>
  <si>
    <t>RIC7 M5-28 x 24 PM</t>
  </si>
  <si>
    <t>RIC M13-24 x 12 PM</t>
  </si>
  <si>
    <t>RIC1 M18-28 x 12 PM</t>
  </si>
  <si>
    <t>RIC2 M17-30 x 24 PM</t>
  </si>
  <si>
    <t>RIC3 M15-26 x 12 PM</t>
  </si>
  <si>
    <t>RIC M8-30 x 23 PM</t>
  </si>
  <si>
    <t>TECNOL1 M13-30 x 18 PM</t>
  </si>
  <si>
    <t>TECNOL2 M7-30 x 24 PM</t>
  </si>
  <si>
    <t>TECNOL3 M19-30 x 12 PM</t>
  </si>
  <si>
    <t>RIC1-2-3 M7-30 x 24 PM</t>
  </si>
  <si>
    <t>RIC4-5 M13-30 x 18 PM</t>
  </si>
  <si>
    <t>RIC6 M7-30 x 24PM</t>
  </si>
  <si>
    <t>RIC M16 per tot 1 PM</t>
  </si>
  <si>
    <t>RIC M6-27 x 12 PM</t>
  </si>
  <si>
    <t>RIC3 M25-28 per tot 4 PM</t>
  </si>
  <si>
    <t>TECNOL M25-28 per tot 4 PM</t>
  </si>
  <si>
    <t>RIC3 M21-24 per tot 4 PM</t>
  </si>
  <si>
    <t>TECNOL M21-24 x 4 PM</t>
  </si>
  <si>
    <t>RIC3 M20 per tot 1 PM</t>
  </si>
  <si>
    <t>TECNOL M20 per tot 1 PM</t>
  </si>
  <si>
    <t>RIC3 M18-19 per tot 2PM</t>
  </si>
  <si>
    <t>TECNOL M18-19 per tot 2PM</t>
  </si>
  <si>
    <t>RIC3 M29 per 1 PM</t>
  </si>
  <si>
    <t>TECNOL M29 per 1 PM</t>
  </si>
  <si>
    <t>RIC3 M18-29 x 12 PM</t>
  </si>
  <si>
    <t>TECNOL M18-29 x 12 PM</t>
  </si>
  <si>
    <t>RIC1-2 M26-28 per tot 3 PM ciascuno</t>
  </si>
  <si>
    <t>RIC1-2 M19-20 per 2 PM ciascuno</t>
  </si>
  <si>
    <t>RIC1-2 M21-25+M29-30 per tot 5+2 PM</t>
  </si>
  <si>
    <t>RIC1-2 M19-30 x 12 PM</t>
  </si>
  <si>
    <t>IO8.1</t>
  </si>
  <si>
    <t>Financing PhD positions</t>
  </si>
  <si>
    <t>IO8.2</t>
  </si>
  <si>
    <t>Start of training programme</t>
  </si>
  <si>
    <t>IO8.3</t>
  </si>
  <si>
    <t>Acceptance to RITRAIN school</t>
  </si>
  <si>
    <t>IO8.4</t>
  </si>
  <si>
    <t>First level training of data stewards</t>
  </si>
  <si>
    <t>IO8.5</t>
  </si>
  <si>
    <t>Second level training of data stewards: user support</t>
  </si>
  <si>
    <t>IO8.6</t>
  </si>
  <si>
    <t>Start of laboratory support by data stewards</t>
  </si>
  <si>
    <t>IO8.7</t>
  </si>
  <si>
    <t>User support by data stewards</t>
  </si>
  <si>
    <t>IO8.8</t>
  </si>
  <si>
    <t>Training of users and young researchers for the usage of the upgraded RI</t>
  </si>
  <si>
    <t>RIC1 M17-20 per tot 4 PM</t>
  </si>
  <si>
    <t>CTER2 M18 per 1 PM</t>
  </si>
  <si>
    <t>RIC3 M29-30 per tot 2PM</t>
  </si>
  <si>
    <t>RIC1 M21-22 per tot 2 PM</t>
  </si>
  <si>
    <t>RIC1 M23-24+25-30 per tot 2+6 PM</t>
  </si>
  <si>
    <t>RIC1 M9-M16 per tot 8 PM</t>
  </si>
  <si>
    <t>RIC1 M7-8 per tot 2 PM</t>
  </si>
  <si>
    <t>RIC2 M29-30 per tot 2PM</t>
  </si>
  <si>
    <t>RIC2 M12-19 per 8 PM</t>
  </si>
  <si>
    <t>RIC2 M7-11+20-28 per tot 5+9 PM</t>
  </si>
  <si>
    <t>RIC2 M7-30 x 24 PM</t>
  </si>
  <si>
    <t>RIC1 M7-30 x 24 PM</t>
  </si>
  <si>
    <t>RIC3 M19 per tot 1 PM</t>
  </si>
  <si>
    <t>RIC3 M7-18+M20-28 per tot 12+9 PM</t>
  </si>
  <si>
    <t>RIC3 M7-30 x 24 PM</t>
  </si>
  <si>
    <t>CTER1 M25-30 per tot 6 PM</t>
  </si>
  <si>
    <t>CTER1 M13-14 per tot 2 PM</t>
  </si>
  <si>
    <t>CTER1 M7-12+M15-24 per tot 6+10PM</t>
  </si>
  <si>
    <t>CTER1 M7-30 x 24 PM</t>
  </si>
  <si>
    <t>CTER2 M7-30 x 24 PM</t>
  </si>
  <si>
    <t>CTER2 M25-30 per tot 6 PM</t>
  </si>
  <si>
    <t>CTER2 M7-17+M19-24 per tot 11+6 PM</t>
  </si>
  <si>
    <t>PM M5-7 per un tot di 3 PM</t>
  </si>
  <si>
    <t>PM M8-10+M11-16 per un tot di 3+6 PM</t>
  </si>
  <si>
    <t>PM M5-28 x 24 PM</t>
  </si>
  <si>
    <t>ENG M2-28 x tot 24 PM</t>
  </si>
  <si>
    <t>ENG M5-28 x 24 PM</t>
  </si>
  <si>
    <t>PM M17-M28 per tot 12 PM</t>
  </si>
  <si>
    <t>TECNOL1 M7-30 per tot 24 PM</t>
  </si>
  <si>
    <t>TECNOL1 M7-30 x 24 PM</t>
  </si>
  <si>
    <t>RIC1M7-30 per tot 24 PM</t>
  </si>
  <si>
    <t>TECNOL2 M13-30 per tot 18 PM</t>
  </si>
  <si>
    <t>TECNOL2 M13-30 per 18 PM</t>
  </si>
  <si>
    <t>RIC2 M15-30 per tot 16 PM</t>
  </si>
  <si>
    <t>RIC2 M7-14 per tot 8 PM</t>
  </si>
  <si>
    <t>TECNOL1 M21-M30 per tot 10 PM</t>
  </si>
  <si>
    <t>TECNOL2 M21-30 per tot 10 PM</t>
  </si>
  <si>
    <t>TECNOL3 M29-30 per tot 2 PM</t>
  </si>
  <si>
    <t>TECNOL3 M15-M28 per tot 14 PM</t>
  </si>
  <si>
    <t>TECNOL2 M11-20 per tot 10 PM</t>
  </si>
  <si>
    <t>TECNOL2 M7-10 per tot 4 PM</t>
  </si>
  <si>
    <t>TECNOL3 M13-14 per tot 2 PM</t>
  </si>
  <si>
    <t>TECNOL3 M7-12 per tot 6 PM</t>
  </si>
  <si>
    <t>TECNOL1 M15-17 per tot 2,4 PM</t>
  </si>
  <si>
    <t>TECNOL1 M7-9+M17-27 per tot 2,4+9,6 PM</t>
  </si>
  <si>
    <t>TECNOL1 M9-15+M26-30 per tot 6+3,6 PM</t>
  </si>
  <si>
    <t>TEC M7-30 per tot 24 PM</t>
  </si>
  <si>
    <t>TECNOL2 M7-30 per tot 24 PM</t>
  </si>
  <si>
    <t>TEC M7-30 x 24 PM</t>
  </si>
  <si>
    <t>IO5.1</t>
  </si>
  <si>
    <t>IO5.2</t>
  </si>
  <si>
    <t>IO5.3</t>
  </si>
  <si>
    <t>IO5.4</t>
  </si>
  <si>
    <t>IO5.5</t>
  </si>
  <si>
    <t>IO5.6</t>
  </si>
  <si>
    <t>IO7.1</t>
  </si>
  <si>
    <t>IO7.2</t>
  </si>
  <si>
    <t>IO7.3</t>
  </si>
  <si>
    <t>IO7.4</t>
  </si>
  <si>
    <t>IO7.5</t>
  </si>
  <si>
    <t>IO4.1</t>
  </si>
  <si>
    <t>IO4.2</t>
  </si>
  <si>
    <t>IO4.3</t>
  </si>
  <si>
    <t>IO4.4</t>
  </si>
  <si>
    <t>IO4.5</t>
  </si>
  <si>
    <t>IO4.6</t>
  </si>
  <si>
    <t>IO4.7</t>
  </si>
  <si>
    <t>IO4.8</t>
  </si>
  <si>
    <t>IO4.9</t>
  </si>
  <si>
    <t>IO4.10</t>
  </si>
  <si>
    <t>Definition of the needs for a constant technical upgrade of the facilities</t>
  </si>
  <si>
    <t>IO4.11</t>
  </si>
  <si>
    <t>IO4.12</t>
  </si>
  <si>
    <t>FLUSSO incl. OH</t>
  </si>
  <si>
    <t>IO3.1</t>
  </si>
  <si>
    <t>IO3.2</t>
  </si>
  <si>
    <t>IO3.3</t>
  </si>
  <si>
    <t>IO3.4</t>
  </si>
  <si>
    <t>IO3.5</t>
  </si>
  <si>
    <t>Metadata system for OU upgrade</t>
  </si>
  <si>
    <t>First release of FAIR-by-design modules for all OU</t>
  </si>
  <si>
    <t>Second release of FAIR-by-design environment for all OU</t>
  </si>
  <si>
    <t>IO3.6</t>
  </si>
  <si>
    <t>IO3.7</t>
  </si>
  <si>
    <t>IO3.8</t>
  </si>
  <si>
    <t>First set of FAIR-by-design research data</t>
  </si>
  <si>
    <t>Survey of current FAIRness of RI instrumentation and plan for action</t>
  </si>
  <si>
    <t>IO6.1</t>
  </si>
  <si>
    <t>IO6.2</t>
  </si>
  <si>
    <t>IO6.3</t>
  </si>
  <si>
    <t>IO6.4</t>
  </si>
  <si>
    <t>IO6.5</t>
  </si>
  <si>
    <t>IO6.6</t>
  </si>
  <si>
    <t>IO6.7</t>
  </si>
  <si>
    <t>IO6.8</t>
  </si>
  <si>
    <t xml:space="preserve">IRA guideline </t>
  </si>
  <si>
    <t xml:space="preserve">Helpdesk Set Up </t>
  </si>
  <si>
    <t>Complete overview on tender/procurement status</t>
  </si>
  <si>
    <t>Report on status of foreseen tender/procurement processes</t>
  </si>
  <si>
    <t># of tender/procurement process started</t>
  </si>
  <si>
    <t>Description:</t>
  </si>
  <si>
    <t>As part of Activity A4.2, a complete overview on the status and timeline of all envisaged procurement procedures (via tenders or direct acquisitions) is sketched.</t>
  </si>
  <si>
    <t># of tender procedures completed</t>
  </si>
  <si>
    <t># of advance payments completed</t>
  </si>
  <si>
    <t>Suppliers identified for all tender procedures, orders issued and advance payment (40%) completed</t>
  </si>
  <si>
    <t>Report on tender notices, tender assignments and advance payments for instrumentation items above 139 keuro value</t>
  </si>
  <si>
    <t>Intermediate payment (40%) for instrumentation that passed the factory test by M17</t>
  </si>
  <si>
    <t>Intermediate payment (40%) for instrumentation that passed the factory test by M17, after issuing of specific invoices, and related start of integration work in the laboratories</t>
  </si>
  <si>
    <t># of successful factory tests</t>
  </si>
  <si>
    <t>Report on first batch of factory tests</t>
  </si>
  <si>
    <t>Intermediate payment (40%) for instrumentation that passed the factory test in M17-M23, after issuing of specific invoices, and related start of integration work in the laboratories</t>
  </si>
  <si>
    <t>Intermediate payment (40%) for instrumentation that passed the factory test in M18-23</t>
  </si>
  <si>
    <t>Completion of the acquisition procedures for items under 139 keur (NET) delivered after M12</t>
  </si>
  <si>
    <t>For all tenders for acquisition of instrumentation items costing more than 139 keur NET (sopra soglia) , the tender procedure is completed, orders are issued and a 40% advanced payment is completed after specific invoices</t>
  </si>
  <si>
    <t>Acquisition procedures completed, instrumentation installed and commissioning completed for instrumentation items below 139 keur NET value that were delivered in the second year of the project. Related invoices paid.</t>
  </si>
  <si>
    <t>Report on second batch of factory tests</t>
  </si>
  <si>
    <t># of intruments delivered</t>
  </si>
  <si>
    <t># of instruments installed</t>
  </si>
  <si>
    <t># of invoices paid</t>
  </si>
  <si>
    <t>Report on instrumentation (sotto soglia) delivered and commissioned in the second project year</t>
  </si>
  <si>
    <t>Intermediate payment (40%) for instrumentation that passed the factory test in M24-28</t>
  </si>
  <si>
    <t>Intermediate payment (40%) for instrumentation that passed the factory test in M24-M28, after issuing of specific invoices, and related start of integration work in the laboratories</t>
  </si>
  <si>
    <t>Report on third batch of factory tests</t>
  </si>
  <si>
    <t># of instruments above 139 keur NET fully paid</t>
  </si>
  <si>
    <t>Installation and commissioning of all remaining instruments</t>
  </si>
  <si>
    <t>Installation and commissioning of all other ordered instruments above 139 keur NET value, balance payments completed</t>
  </si>
  <si>
    <t>Report on installation and commissioning of third batch of ordered instruments above 139 keur NET value</t>
  </si>
  <si>
    <t>Completion of the acquisition procedures for items under 139 keur (NET) delivered by M12</t>
  </si>
  <si>
    <t>Acquisition procedures completed, instrumentation installed and commissioning completed for instrumentation items below 139 keur NET value that were delivered in the first year of the project. Related invoices paid.</t>
  </si>
  <si>
    <t>Report on instrumentation (sotto soglia) delivered and commissioned in the first project year</t>
  </si>
  <si>
    <t>Report on needs for the long-term technical upgrade of the infrastructure</t>
  </si>
  <si>
    <t>Analysis of possible synergies among nodes, identification of constant upgrade needs and plans for the 10-year operation phase per INSTALLATION</t>
  </si>
  <si>
    <t># of needs identified</t>
  </si>
  <si>
    <t xml:space="preserve">Installation and commissioning of instruments above 139 keur NET value delivered by M19 </t>
  </si>
  <si>
    <t>Installation and commissioning of instruments above 139 keur NET value delivered by M19, balance payments completed</t>
  </si>
  <si>
    <t xml:space="preserve">Installation and commissioning of instruments above 139 keur NET value delivered in M20-25 </t>
  </si>
  <si>
    <t>Installation and commissioning of instruments above 139 keur NET value delivered in M20-25, balance payments completed</t>
  </si>
  <si>
    <t>Report on installation and commissioning of second batch of ordered instruments above 139 keur NET value</t>
  </si>
  <si>
    <t>Report on installation and commissioning of first batch of ordered instruments above 139 keur NET value</t>
  </si>
  <si>
    <t>Preparation of the premises for the new instrumentation</t>
  </si>
  <si>
    <t># of premises prepared</t>
  </si>
  <si>
    <t>Plan for integration of the new major upgrades in the existing facilities</t>
  </si>
  <si>
    <t>FUNZ M5-28 x 24 PM</t>
  </si>
  <si>
    <t xml:space="preserve">Completion of the TLNet structure </t>
  </si>
  <si>
    <t>The TLNet is structured in a central coordinating node and local nodes at the premises of provider nodes. In case of big provider nodes, offering several installations  with many techniques, can be structured with more local contacts, in charge to provide technical information and evaluations for group or even single instruments. The achievement of this IO means that all the structures of the TLNet, overall network as well as local node structures is completed, in order to be ready to supply all the technical support necessary for operational implementation of the digital catalogue and of the interoperability protocols for both pre-upgrade and upgraded/new instrumentation.</t>
  </si>
  <si>
    <t># of appointed TLNet members</t>
  </si>
  <si>
    <t>TLNet structure</t>
  </si>
  <si>
    <t>Technical information for pre-upgrade instrumentation uploaded in the digital catalogue</t>
  </si>
  <si>
    <t>Digital catalogue of pre-upgrade instrumentation</t>
  </si>
  <si>
    <t xml:space="preserve">The local TLNet contacts are expected to provide all the necessary technical information and specification and operational data of pre-upgrade instrumentation to be included in the SEP and in the Digital Catalogue. At this phase the first level of the Catalogue navigation (group of techniques overview) and second level (technique brief description and location) must be completed for all the offered methods and services.  </t>
  </si>
  <si>
    <t xml:space="preserve">The local TLNet contacts are expected to provide all the necessary technical information and specification and commissioning data of upgraded/new instrumentation already installed, to be included in the SEP and in the Digital Catalogue. At this phase, all the 3 levels of the Catalogue navigation, therefore including also the detailed technical specification of the instruments are included in the Catalogue. </t>
  </si>
  <si>
    <t># of pre-upgrade entries in the catalogue</t>
  </si>
  <si>
    <t>Digital catalogue of post-upgrade instrumentation</t>
  </si>
  <si>
    <t>First call for users’ access, to be considered as stress test of the fully Digital distributed infrastructure.</t>
  </si>
  <si>
    <t xml:space="preserve"># of submitted proposals </t>
  </si>
  <si>
    <t>Report on first test call for access</t>
  </si>
  <si>
    <t>First test call for access</t>
  </si>
  <si>
    <t>Personalized laboratory DMPs</t>
  </si>
  <si>
    <t>Data Management Plans at laboratory level.</t>
  </si>
  <si>
    <t># of completed laboratory DMPs</t>
  </si>
  <si>
    <t>Second release of the Data Management Plan including the first batch of laboratory DMPs</t>
  </si>
  <si>
    <t>Second test call for access</t>
  </si>
  <si>
    <t>Second test call for access, building on the analysis of results of the first call and trying to smoothen all the mechanisms.</t>
  </si>
  <si>
    <t>Report on second test call for access</t>
  </si>
  <si>
    <t>An overview on the modalities, status and timeline of all envisaged procurement procedures is sketched.</t>
  </si>
  <si>
    <t>Organization and start of the purchase procedure for innovative equipment</t>
  </si>
  <si>
    <t># of tender/procurement processes started</t>
  </si>
  <si>
    <t>First deliveries of instrumentation for exploratory research, protocol design and innovative methods</t>
  </si>
  <si>
    <t>First report on instrumentation delivered and commissioned for exploratory research</t>
  </si>
  <si>
    <t>First acquisition procedures completed, instrumentation installed and commissioning completed. Invoices paid.</t>
  </si>
  <si>
    <t>Second report on instrumentation delivered and commissioned for exploratory research</t>
  </si>
  <si>
    <t>Further deliveries of instrumentation for innovative research, start-up of research activities for all OU</t>
  </si>
  <si>
    <t>Further acquisition procedures completed, instrumentation installed and commissioning completed for all instrumentation. Invoices paid. Upskill and exploratory research started.</t>
  </si>
  <si>
    <t># of research activities with new instrumentation started (experiments/methodological developments planned or training sessions on similar equipment ongoing)</t>
  </si>
  <si>
    <t>First report on upskill/exploratory research activities</t>
  </si>
  <si>
    <t>Start of research with the new instrumentation/developments</t>
  </si>
  <si>
    <t>Test experiments pushing to the limit the performances of the new instruments/methods. Round-robin tests of the new instrumentation with complementary resources of the RI.</t>
  </si>
  <si>
    <t># of test experiments with upgraded instrumentation/methods</t>
  </si>
  <si>
    <t>First report on upskill of staff on usage of upgraded instrumentation/methods</t>
  </si>
  <si>
    <t xml:space="preserve">Second report on upskill of staff on usage of upgraded instrumentation </t>
  </si>
  <si>
    <t># of laboratories with upgraded instrumentation ready to provide user access</t>
  </si>
  <si>
    <t>Completion of innovative research test activities for the use of the new instrumentation</t>
  </si>
  <si>
    <t>Test activities for innovative research making use of the new instrumentation and newly developed methods are completed as in-house research, in order to simulate the future user proposal needs. Tests of interoperability are completed.</t>
  </si>
  <si>
    <t># of identified PhD profiles</t>
  </si>
  <si>
    <t>Identification and approval by PhD schools of the NFFA-DI PhD profiles</t>
  </si>
  <si>
    <t>Financing (2-years) of PhD positions at Universities co-located with the Consortium nodes, selection of winners and attribution to NFFA-DI nodes for carrying out their research programme in nanoscience</t>
  </si>
  <si>
    <t>Start of training programmes in all laboratories for young scientists including short exchange visits among the RI nodes to keep close contacts among all trainees and favour team building</t>
  </si>
  <si>
    <t># of planned training actions</t>
  </si>
  <si>
    <t>Terms of reference for the training programme</t>
  </si>
  <si>
    <t>Application to the RETRAIN school of Research Infrastructure managers held by Univ. Milano Bicocca in connection with the EC-project RITRAIN-Plus.  The school is addressed to future RI managers as well as to experienced practitioners of RI services.  It can deliver a master certificate</t>
  </si>
  <si>
    <t># of NFFA-DI people accepted to the Retrain school</t>
  </si>
  <si>
    <t>Enrolment of NFFA-DI people to the Retrain school</t>
  </si>
  <si>
    <t># of data steward trainees</t>
  </si>
  <si>
    <t>First progress report on data steward training</t>
  </si>
  <si>
    <t>Second progress report on data steward training</t>
  </si>
  <si>
    <t>Engagement of data stewards for implementing DMPs at all provider laboratory; user training for guiding to FAIR-data production and for exploiting FAIR-data services from EOSC and other relevant data infrastructures.</t>
  </si>
  <si>
    <t>Third progress report on data steward training</t>
  </si>
  <si>
    <t>User assistance by data stewards for generating FAIR data sets from their research at the NFFA-DI facilities.</t>
  </si>
  <si>
    <t>Fourth progress report on data steward training</t>
  </si>
  <si>
    <t>Training of users and young researchers for the usage of the new acquired instrumentation and for the maximum exploitation of its performances; training of users for the FAIR-by-design technology installed also on existing laboratory instruments.</t>
  </si>
  <si>
    <t># of trainees</t>
  </si>
  <si>
    <t>Report on training activities on the upgraded RI</t>
  </si>
  <si>
    <t>Development of protocols for ensuring interoperability among the different nodes, in view of a multi-disciplinary multi-site execution of complex experimental work-plans.</t>
  </si>
  <si>
    <t xml:space="preserve">A logical scheme for the Digital Work Flow will be developed for each step of the integrated access workflow: from proposal submission to technical and scientific evaluation, user-provider exchange, access data archiving and access monitoring </t>
  </si>
  <si>
    <t>Definition of the digital workflow for access</t>
  </si>
  <si>
    <t># of digital workflow steps defined</t>
  </si>
  <si>
    <t>Logical schemes for the Digital Work Flow and procedures for user access</t>
  </si>
  <si>
    <t>A new model for continuous real-time monitoring of all user-related activities to optimize the services to users</t>
  </si>
  <si>
    <t>Protocols for Real time access monitoring, statistics and analytics</t>
  </si>
  <si>
    <t>First release of online SEP and catalogue</t>
  </si>
  <si>
    <t>A Single Entry Point (SEP) for user access will be implemented. Starting from the collection of user data at registration level on the web portal, it will allow proposal drafting, submission, evaluation, scheduling and finally monitoring of access activities. The digital catalogue will be a multi-level compendium of the NFFA-DI offer, including the possibility to access and compare technical specifications of the different instruments. Initial gate to the NFFA-DI RI, it will offer users the possibility to select the most appropriate techniques and methods for the preparation of a comprehensive research proposal through the SEP.</t>
  </si>
  <si>
    <t># of items in the catalogue</t>
  </si>
  <si>
    <t>Start of activity for the central coordination of the TLNet</t>
  </si>
  <si>
    <t>The Technical Liaison Network (TLNet) is the technical backbone of the distributed infrastructure. A smooth integration of all nodes requires a timely and precise central coordination. The achievement of this IO implies that all schemes and procedures for central coordination are identified and tested through the sharing of information for filling the digital catalogue.</t>
  </si>
  <si>
    <t>Appointment of Access Review Panel members and chair, identification of a suitable evaluation scheme.</t>
  </si>
  <si>
    <t>First level training of data stewards: from developing DMPs at single laboratory level to application of the FAIR concept for in-house research.</t>
  </si>
  <si>
    <t>Second level training of data stewards: FAIR-data services from EOSC and other relevant data infrastructures and possible development of user interfaces for guiding to these services.</t>
  </si>
  <si>
    <t>Start-up of all activities</t>
  </si>
  <si>
    <t>Set-up of the governance bodies and operational structure. Preparation of foreseen periodic reports up to B4</t>
  </si>
  <si>
    <t>Monitoring and analysis of activities carried out in the first part of the project. Preparation of foreseen periodic reports up to B7</t>
  </si>
  <si>
    <t>Analysis of the activities of the first part of the project</t>
  </si>
  <si>
    <t>Analysis of the activities of the central months of the project</t>
  </si>
  <si>
    <t>Monitoring and analysis of activities carried out in the central months of the project. Preparation of foreseen periodic reports up to B10</t>
  </si>
  <si>
    <t>Monitoring and analysis of activities carried out in the user access start-up phase. Preparation of foreseen periodic reports up to B13</t>
  </si>
  <si>
    <t>Analysis of activities carried out in the user access start-up phase</t>
  </si>
  <si>
    <t>Interaction with the EC, NFFA-Europe and other RIs at European level. Identification of possible opportunities in view of long-term operation within the European context</t>
  </si>
  <si>
    <t>Definition od the NFFA-DI Data Management Plan</t>
  </si>
  <si>
    <t>Assessment of the methodology for implementing the FAIRness of the scientific outcomes generated by user access. Publications, conference presentations and patents (PPP monitoring) will be used for measuring the success of the awarded access packages.</t>
  </si>
  <si>
    <t xml:space="preserve">Evaluation of the pre-upgrade scientific outcomes to be used as a reference for the monitoring activity. </t>
  </si>
  <si>
    <t xml:space="preserve">Application to a first set of post-upgrade results of the methodologies previously developed and tested </t>
  </si>
  <si>
    <t>Proper legal and organizational structure of the consortium for long-term operation of NFFA-DI</t>
  </si>
  <si>
    <t>IO1.3</t>
  </si>
  <si>
    <t>IO1.4</t>
  </si>
  <si>
    <t>IO1.5</t>
  </si>
  <si>
    <t>IO1.6</t>
  </si>
  <si>
    <t>IO1.7</t>
  </si>
  <si>
    <t>IO1.8</t>
  </si>
  <si>
    <t>IO1.9</t>
  </si>
  <si>
    <t>IO1.10</t>
  </si>
  <si>
    <t>D1.2</t>
  </si>
  <si>
    <t>D1.3</t>
  </si>
  <si>
    <t>D1.4</t>
  </si>
  <si>
    <t>D1.5</t>
  </si>
  <si>
    <t>D1.6</t>
  </si>
  <si>
    <t>D1.7</t>
  </si>
  <si>
    <t>D1.8</t>
  </si>
  <si>
    <t>D1.9</t>
  </si>
  <si>
    <t>D1.10</t>
  </si>
  <si>
    <t>Report on the FAIRness of tools within the consortium and plan of action</t>
  </si>
  <si>
    <t># of laboratories interviewed and instruments catalogued</t>
  </si>
  <si>
    <t>Report on the upgrade of the ORFEO datacenter</t>
  </si>
  <si>
    <t>Upgrade of ORFEO</t>
  </si>
  <si>
    <t>First release of OFED</t>
  </si>
  <si>
    <t># of services offered by OFED</t>
  </si>
  <si>
    <t>Second release of OFED</t>
  </si>
  <si>
    <t xml:space="preserve">Second release of the OFED Digital Ecosystem </t>
  </si>
  <si>
    <t>D2.1</t>
  </si>
  <si>
    <t>D2.3</t>
  </si>
  <si>
    <t>D2.4</t>
  </si>
  <si>
    <t>D2.5</t>
  </si>
  <si>
    <t># of digital functionalities of the TLNet digital dashboard</t>
  </si>
  <si>
    <t>TECNOL1 M7-8 per tot 2 PM</t>
  </si>
  <si>
    <t>TECNOL1 M9-20 per tot 12 PM</t>
  </si>
  <si>
    <t># of contracts signed after tender completion</t>
  </si>
  <si>
    <t># of contracts (sotto soglia) signed</t>
  </si>
  <si>
    <t>D4.1</t>
  </si>
  <si>
    <t>D4.2</t>
  </si>
  <si>
    <t>D4.3</t>
  </si>
  <si>
    <t>D4.4</t>
  </si>
  <si>
    <t>D4.5</t>
  </si>
  <si>
    <t>D4.6</t>
  </si>
  <si>
    <t>D4.7</t>
  </si>
  <si>
    <t>D4.8</t>
  </si>
  <si>
    <t>D4.9</t>
  </si>
  <si>
    <t>D4.10</t>
  </si>
  <si>
    <t>D4.11</t>
  </si>
  <si>
    <t>D4.12</t>
  </si>
  <si>
    <t>Civil infrastructure, reorganization and distribution of the room, integration with existing instruments</t>
  </si>
  <si>
    <t>IO2.7</t>
  </si>
  <si>
    <t>Conceptual design of SEP and Digital catalogue</t>
  </si>
  <si>
    <t>Conceptual design of SEP and Digital catalogue. Contract for SEP development signed. First payment completed.</t>
  </si>
  <si>
    <t xml:space="preserve"># of sections designed for SEP and digital catalogue </t>
  </si>
  <si>
    <t>Conceptual design of SEP and Digital catalogue.</t>
  </si>
  <si>
    <t>Upgrade of ORFEO data center with additional components in computing/storage and network capabilities. Hardware installed and configured. Invoices paid.</t>
  </si>
  <si>
    <t>% increase of ORFEO computational capacity (max +30%)</t>
  </si>
  <si>
    <t>% increase of ORFEO storage capacity (max +30%)</t>
  </si>
  <si>
    <t>A first set of basic services will be initially offered, on top of ORFEO infrastructure. It will comprise a first release of a tool to create data management plans and metadata schema editors to help scientists and experimental station owners and deployers to implement a FAIR-by-design approach.</t>
  </si>
  <si>
    <t xml:space="preserve">First available release of the OFED Digital Ecosystem and associated report </t>
  </si>
  <si>
    <t>A second release of the NFFA-DI Overarching Fair Ecosystem for Data System (OFED) will make available a second set of innovative data services. This OFED release comprises the updated version of all services previously installed and provides the final digital ecosystem.</t>
  </si>
  <si>
    <t>Metadata schema for NFFA-DI experimental techniques and instruments will be identified and collected to better define FAIR-by-design implementation.</t>
  </si>
  <si>
    <t xml:space="preserve">Report of metadata schema developed and implemented </t>
  </si>
  <si>
    <t># of metadata schema developed</t>
  </si>
  <si>
    <t xml:space="preserve">First report on the implemented modules for experimental facilities </t>
  </si>
  <si>
    <t># of implemented modules</t>
  </si>
  <si>
    <t>This second  release will enlarge the initial  set of modules developed by partners on the instruments that implements FAIR-by-design apprach</t>
  </si>
  <si>
    <t xml:space="preserve">Second report on the implemented modules for experimental facilities </t>
  </si>
  <si>
    <t>Report on the first set of FAIR-by-design research data</t>
  </si>
  <si>
    <t># of acquired datasets identified with unique Digital Object Identifier (DOI)</t>
  </si>
  <si>
    <t xml:space="preserve">Design  of the IRA procedures </t>
  </si>
  <si>
    <t xml:space="preserve">The objective focuses on the definition of terms and conditions to access IRA with the definition of the cost models to give evidence of operating running costs each Partner will incur. </t>
  </si>
  <si>
    <t>Report and specification document of the Protocol of IRA procedures</t>
  </si>
  <si>
    <t># of cost models defined</t>
  </si>
  <si>
    <t>The spefication will be implemented in a set of IRA procedures. The IRA guideline will allow the community to understand structures, tools and procedures implemented and made available.</t>
  </si>
  <si>
    <t># of OUs adopting IRA platforms</t>
  </si>
  <si>
    <t xml:space="preserve">Virtual Access Services 1 : Semi-automatic classification service </t>
  </si>
  <si>
    <t>Develop tools for retrieval of several advanced features including, but not limited to, tools to sort/group images by similarity, size to organize it in structured DB</t>
  </si>
  <si>
    <t>Design of the semi-automatic classification service</t>
  </si>
  <si>
    <t># of datasets automatically classified</t>
  </si>
  <si>
    <t>Virtual Access Services 2 : Ready-to-use Neural Networks</t>
  </si>
  <si>
    <t>Deployment of deep learning algorithms for image analysis and/or automatic classification</t>
  </si>
  <si>
    <t>Report on ready-to-use Neural Networks for scientific image classification</t>
  </si>
  <si>
    <t># of instruments for which deep learning algorithms, aimed at facilitating usage, are designed and deployed</t>
  </si>
  <si>
    <t xml:space="preserve">The focus of the IO is to setup the helpdesk. The function of the Helpdesk is crucial to raise awareness on technology transfer strategies to exploit NFFA-DI research results and bring academic inventions to the market. </t>
  </si>
  <si>
    <t xml:space="preserve">IP&amp;M Helpdesk guidelines </t>
  </si>
  <si>
    <t># of researchers asking advisory services to the Helpdesk (target 10 at BIM15)</t>
  </si>
  <si>
    <t>Setup of the Digital portfolio</t>
  </si>
  <si>
    <t>The“Digital Portfolio” represents the essential tool to decline NFFA-DI offer for the business world, allowing the development of applied research projects. Investigation potentiality is organized in its possible industrial applications (including case studies), in order to guide and support companies in identifying, choosing and applying for both stand-alone services and multi-technique investigations offered by NFFA-DI.</t>
  </si>
  <si>
    <t>Report on the installation the Portfolio</t>
  </si>
  <si>
    <t># of services identified (target &gt;5)</t>
  </si>
  <si>
    <t xml:space="preserve">AI-augmented research infrastructure facility available </t>
  </si>
  <si>
    <t>The main objective of Activity 6.5 will be, in the top of the upgraded Orfeo computational facility to establish an AI- augmented research infrastructure that enables the experimental stations of NFFA-DI to exploit state-of-the- art machine learning algorithms for nanoscience and materials.</t>
  </si>
  <si>
    <t xml:space="preserve">Report on the AI-augmented research infrastructure </t>
  </si>
  <si>
    <t># of upgraded entries in the catalogue</t>
  </si>
  <si>
    <t># of experimental sources successfully considered for advanced ML analysis on multiplexing data</t>
  </si>
  <si>
    <t xml:space="preserve">Graphical interfaces for simulation tools for NFFA-DI community </t>
  </si>
  <si>
    <t>The goal of Activity 6.6 is to develop new software, graphical tools and interfaces to facilitate the use of theoretical approaches based on density functional theory. The target users of these tools are experimental groups performing measurements at NFFA-DI. This first objective is the successful development of graphical interfaces to enable the user-friendly set up of input files, structure generation and structure editing.</t>
  </si>
  <si>
    <t># of graphical tools in the interface application</t>
  </si>
  <si>
    <t>Report on graphical interfaces for simulation tools</t>
  </si>
  <si>
    <t>IO6.9</t>
  </si>
  <si>
    <t>The goal of Activity 6.6 is to develop new software, graphical tools and interfaces to facilitate the use of theoretical approaches based on density functional theory. The target users of these tools are experimental groups performing measurements at NFFA-DI. This second objective is the successful design of computational recipies and workflows to simulate a variety of experimental measurements (i.e. STM images, ARPES, …).</t>
  </si>
  <si>
    <t>Standardized simulation workflows for NFFA-DI community for standard properties calculations</t>
  </si>
  <si>
    <t># of experimental techniques/systems addressed with the developed workflows</t>
  </si>
  <si>
    <t>D2.2</t>
  </si>
  <si>
    <t>D2.6.1</t>
  </si>
  <si>
    <t>D2.6.2</t>
  </si>
  <si>
    <t>D2.7.1</t>
  </si>
  <si>
    <t>D2.7.2</t>
  </si>
  <si>
    <t>D3.1</t>
  </si>
  <si>
    <t>D3.2</t>
  </si>
  <si>
    <t>D3.3</t>
  </si>
  <si>
    <t>D3.4</t>
  </si>
  <si>
    <t>D3.5</t>
  </si>
  <si>
    <t>D3.6</t>
  </si>
  <si>
    <t>D3.7</t>
  </si>
  <si>
    <t>D3.8</t>
  </si>
  <si>
    <t>D5.3</t>
  </si>
  <si>
    <t>D5.4</t>
  </si>
  <si>
    <t>D5.5</t>
  </si>
  <si>
    <t>D5.6</t>
  </si>
  <si>
    <t>D5.1</t>
  </si>
  <si>
    <t>D5.2</t>
  </si>
  <si>
    <t>D6.1</t>
  </si>
  <si>
    <t>D6.2</t>
  </si>
  <si>
    <t>D6.3</t>
  </si>
  <si>
    <t>D6.4</t>
  </si>
  <si>
    <t>D6.5</t>
  </si>
  <si>
    <t>D6.6</t>
  </si>
  <si>
    <t>D6.7</t>
  </si>
  <si>
    <t>D6.8</t>
  </si>
  <si>
    <t>D6.9</t>
  </si>
  <si>
    <t>D7.1</t>
  </si>
  <si>
    <t>D7.2</t>
  </si>
  <si>
    <t>D7.3.1</t>
  </si>
  <si>
    <t>D7.3.2</t>
  </si>
  <si>
    <t>D7.4</t>
  </si>
  <si>
    <t>D7.5</t>
  </si>
  <si>
    <t>D8.1</t>
  </si>
  <si>
    <t>D8.2</t>
  </si>
  <si>
    <t>D8.3</t>
  </si>
  <si>
    <t>D8.4</t>
  </si>
  <si>
    <t>D8.5</t>
  </si>
  <si>
    <t>D8.6</t>
  </si>
  <si>
    <t>D8.7</t>
  </si>
  <si>
    <t>D8.8</t>
  </si>
  <si>
    <t>Technical information for a first set of upgraded/new instruments uploaded in the digital catalogue</t>
  </si>
  <si>
    <t>Report on tenders/procurement procedures for innovative instrumentation</t>
  </si>
  <si>
    <t># of instruments delivered</t>
  </si>
  <si>
    <t>RIC M30 per 2 PM</t>
  </si>
  <si>
    <t>The initial situation of NFFA-DI laboratories with respect to FAIRness of the instrumentation will be clarified. A plan for action to improve FAIRness to higher standards will be agreed. First tenders / purchase procedures are completed and advance payments / payments completed after specific invoices.</t>
  </si>
  <si>
    <t>This first release will comprise a set of modules developed by partners on the instruments that implements FAIR-by-design approach. Related purchase procedures are completed and paid after specific invoices.</t>
  </si>
  <si>
    <t>Acquired datasets identified with unique Digital Object Identifier (DOI). These could be generated both in-house and from users’ experiments involving one or more instruments available at RI.  Last invoices are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</si>
</sst>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7" x14ac:knownFonts="1">
    <font>
      <sz val="12"/>
      <color theme="1"/>
      <name val="Calibri"/>
      <family val="2"/>
      <scheme val="minor"/>
    </font>
    <font>
      <b/>
      <sz val="12"/>
      <color theme="1"/>
      <name val="Calibri"/>
      <family val="2"/>
      <scheme val="minor"/>
    </font>
    <font>
      <sz val="8"/>
      <name val="Calibri"/>
      <family val="2"/>
      <scheme val="minor"/>
    </font>
    <font>
      <sz val="12"/>
      <color rgb="FFFF0000"/>
      <name val="Calibri"/>
      <family val="2"/>
      <scheme val="minor"/>
    </font>
    <font>
      <sz val="12"/>
      <color theme="4"/>
      <name val="Calibri"/>
      <family val="2"/>
      <scheme val="minor"/>
    </font>
    <font>
      <sz val="12"/>
      <color theme="9"/>
      <name val="Calibri"/>
      <family val="2"/>
      <scheme val="minor"/>
    </font>
    <font>
      <sz val="12"/>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63">
    <border>
      <left/>
      <right/>
      <top/>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auto="1"/>
      </left>
      <right style="double">
        <color auto="1"/>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medium">
        <color indexed="64"/>
      </top>
      <bottom/>
      <diagonal/>
    </border>
    <border>
      <left style="double">
        <color indexed="64"/>
      </left>
      <right style="thin">
        <color indexed="64"/>
      </right>
      <top style="medium">
        <color indexed="64"/>
      </top>
      <bottom style="thin">
        <color indexed="64"/>
      </bottom>
      <diagonal/>
    </border>
  </borders>
  <cellStyleXfs count="1">
    <xf numFmtId="0" fontId="0" fillId="0" borderId="0"/>
  </cellStyleXfs>
  <cellXfs count="146">
    <xf numFmtId="0" fontId="0" fillId="0" borderId="0" xfId="0"/>
    <xf numFmtId="0" fontId="0" fillId="5" borderId="3" xfId="0" applyFill="1" applyBorder="1" applyAlignment="1">
      <alignment horizontal="center" vertical="center"/>
    </xf>
    <xf numFmtId="0" fontId="0" fillId="0" borderId="4" xfId="0" applyBorder="1"/>
    <xf numFmtId="0" fontId="0" fillId="3" borderId="4" xfId="0" applyFill="1" applyBorder="1"/>
    <xf numFmtId="0" fontId="0" fillId="3" borderId="12" xfId="0" applyFill="1" applyBorder="1"/>
    <xf numFmtId="0" fontId="1" fillId="4" borderId="13" xfId="0" applyFont="1" applyFill="1" applyBorder="1"/>
    <xf numFmtId="0" fontId="1" fillId="4" borderId="8" xfId="0" applyFont="1" applyFill="1" applyBorder="1"/>
    <xf numFmtId="0" fontId="0" fillId="5" borderId="5" xfId="0" applyFill="1" applyBorder="1" applyAlignment="1">
      <alignment horizontal="center" vertical="center"/>
    </xf>
    <xf numFmtId="0" fontId="0" fillId="5" borderId="19" xfId="0" applyFill="1" applyBorder="1" applyAlignment="1">
      <alignment horizontal="center" vertical="center"/>
    </xf>
    <xf numFmtId="0" fontId="0" fillId="5" borderId="1" xfId="0" applyFill="1" applyBorder="1" applyAlignment="1">
      <alignment horizontal="center" vertical="center"/>
    </xf>
    <xf numFmtId="164" fontId="0" fillId="0" borderId="19" xfId="0" applyNumberFormat="1" applyBorder="1"/>
    <xf numFmtId="164" fontId="0" fillId="0" borderId="1" xfId="0" applyNumberFormat="1" applyBorder="1"/>
    <xf numFmtId="164" fontId="0" fillId="0" borderId="5" xfId="0" applyNumberFormat="1" applyBorder="1"/>
    <xf numFmtId="164" fontId="0" fillId="0" borderId="3" xfId="0" applyNumberFormat="1" applyBorder="1"/>
    <xf numFmtId="164" fontId="0" fillId="0" borderId="20" xfId="0" applyNumberFormat="1" applyBorder="1"/>
    <xf numFmtId="164" fontId="0" fillId="0" borderId="2" xfId="0" applyNumberFormat="1" applyBorder="1"/>
    <xf numFmtId="164" fontId="0" fillId="0" borderId="15" xfId="0" applyNumberFormat="1" applyBorder="1"/>
    <xf numFmtId="164" fontId="0" fillId="0" borderId="7" xfId="0" applyNumberFormat="1" applyBorder="1"/>
    <xf numFmtId="164" fontId="0" fillId="4" borderId="21" xfId="0" applyNumberFormat="1" applyFill="1" applyBorder="1"/>
    <xf numFmtId="164" fontId="0" fillId="4" borderId="22" xfId="0" applyNumberFormat="1" applyFill="1" applyBorder="1"/>
    <xf numFmtId="164" fontId="0" fillId="4" borderId="16" xfId="0" applyNumberFormat="1" applyFill="1" applyBorder="1"/>
    <xf numFmtId="164" fontId="0" fillId="4" borderId="11" xfId="0" applyNumberFormat="1" applyFill="1" applyBorder="1"/>
    <xf numFmtId="0" fontId="0" fillId="5" borderId="4" xfId="0" applyFill="1" applyBorder="1" applyAlignment="1">
      <alignment horizontal="center" vertical="center"/>
    </xf>
    <xf numFmtId="164" fontId="0" fillId="0" borderId="4" xfId="0" applyNumberFormat="1" applyBorder="1"/>
    <xf numFmtId="164" fontId="0" fillId="0" borderId="12" xfId="0" applyNumberFormat="1" applyBorder="1"/>
    <xf numFmtId="164" fontId="0" fillId="4" borderId="25" xfId="0" applyNumberFormat="1" applyFill="1" applyBorder="1"/>
    <xf numFmtId="165" fontId="0" fillId="0" borderId="5" xfId="0" applyNumberFormat="1" applyBorder="1"/>
    <xf numFmtId="0" fontId="0" fillId="5" borderId="28" xfId="0" applyFill="1" applyBorder="1" applyAlignment="1">
      <alignment horizontal="center" vertical="center"/>
    </xf>
    <xf numFmtId="0" fontId="0" fillId="5" borderId="29" xfId="0" applyFill="1" applyBorder="1" applyAlignment="1">
      <alignment horizontal="center" vertical="center"/>
    </xf>
    <xf numFmtId="165" fontId="0" fillId="0" borderId="28" xfId="0" applyNumberFormat="1" applyBorder="1"/>
    <xf numFmtId="165" fontId="0" fillId="0" borderId="29" xfId="0" applyNumberFormat="1" applyBorder="1"/>
    <xf numFmtId="165" fontId="0" fillId="4" borderId="35" xfId="0" applyNumberFormat="1" applyFill="1" applyBorder="1"/>
    <xf numFmtId="165" fontId="0" fillId="4" borderId="36" xfId="0" applyNumberFormat="1" applyFill="1" applyBorder="1"/>
    <xf numFmtId="165" fontId="0" fillId="4" borderId="37" xfId="0" applyNumberFormat="1" applyFill="1" applyBorder="1"/>
    <xf numFmtId="165" fontId="0" fillId="0" borderId="30" xfId="0" applyNumberFormat="1" applyBorder="1"/>
    <xf numFmtId="165" fontId="0" fillId="0" borderId="33" xfId="0" applyNumberFormat="1" applyBorder="1"/>
    <xf numFmtId="165" fontId="0" fillId="0" borderId="34" xfId="0" applyNumberFormat="1" applyBorder="1"/>
    <xf numFmtId="165" fontId="0" fillId="0" borderId="4" xfId="0" applyNumberFormat="1" applyBorder="1"/>
    <xf numFmtId="165" fontId="0" fillId="0" borderId="38" xfId="0" applyNumberFormat="1" applyBorder="1"/>
    <xf numFmtId="165" fontId="0" fillId="4" borderId="39" xfId="0" applyNumberFormat="1" applyFill="1" applyBorder="1"/>
    <xf numFmtId="165" fontId="0" fillId="0" borderId="41" xfId="0" applyNumberFormat="1" applyBorder="1"/>
    <xf numFmtId="165" fontId="0" fillId="0" borderId="42" xfId="0" applyNumberFormat="1" applyBorder="1"/>
    <xf numFmtId="165" fontId="0" fillId="4" borderId="43" xfId="0" applyNumberFormat="1" applyFill="1" applyBorder="1"/>
    <xf numFmtId="164" fontId="0" fillId="4" borderId="23" xfId="0" applyNumberFormat="1" applyFill="1" applyBorder="1" applyAlignment="1">
      <alignment horizontal="center"/>
    </xf>
    <xf numFmtId="164" fontId="0" fillId="4" borderId="24" xfId="0" applyNumberFormat="1" applyFill="1" applyBorder="1" applyAlignment="1">
      <alignment horizontal="center"/>
    </xf>
    <xf numFmtId="164" fontId="0" fillId="4" borderId="9" xfId="0" applyNumberFormat="1" applyFill="1" applyBorder="1" applyAlignment="1">
      <alignment horizontal="center"/>
    </xf>
    <xf numFmtId="164" fontId="0" fillId="4" borderId="10" xfId="0" applyNumberFormat="1" applyFill="1" applyBorder="1" applyAlignment="1">
      <alignment horizontal="center"/>
    </xf>
    <xf numFmtId="164" fontId="0" fillId="0" borderId="0" xfId="0" applyNumberFormat="1"/>
    <xf numFmtId="0" fontId="0" fillId="0" borderId="19" xfId="0" applyBorder="1"/>
    <xf numFmtId="0" fontId="0" fillId="0" borderId="1" xfId="0" applyBorder="1"/>
    <xf numFmtId="164" fontId="0" fillId="0" borderId="1" xfId="0" applyNumberFormat="1" applyFont="1" applyFill="1" applyBorder="1"/>
    <xf numFmtId="0" fontId="1" fillId="6" borderId="44" xfId="0" applyFont="1" applyFill="1" applyBorder="1"/>
    <xf numFmtId="0" fontId="1" fillId="6" borderId="49" xfId="0" applyFont="1" applyFill="1" applyBorder="1"/>
    <xf numFmtId="0" fontId="0" fillId="0" borderId="50" xfId="0" applyBorder="1"/>
    <xf numFmtId="0" fontId="0" fillId="0" borderId="51" xfId="0" applyBorder="1"/>
    <xf numFmtId="0" fontId="0" fillId="0" borderId="34" xfId="0" applyBorder="1"/>
    <xf numFmtId="0" fontId="0" fillId="0" borderId="38" xfId="0" applyBorder="1"/>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0" xfId="0" applyAlignment="1">
      <alignment horizontal="right"/>
    </xf>
    <xf numFmtId="0" fontId="0" fillId="0" borderId="0" xfId="0" applyAlignment="1">
      <alignment vertical="center"/>
    </xf>
    <xf numFmtId="0" fontId="0" fillId="0" borderId="0" xfId="0" applyBorder="1" applyAlignment="1">
      <alignment horizontal="center"/>
    </xf>
    <xf numFmtId="0" fontId="0" fillId="0" borderId="0" xfId="0" applyBorder="1"/>
    <xf numFmtId="164" fontId="0" fillId="0" borderId="48" xfId="0" applyNumberFormat="1" applyBorder="1"/>
    <xf numFmtId="164" fontId="0" fillId="0" borderId="28" xfId="0" applyNumberFormat="1" applyBorder="1"/>
    <xf numFmtId="164" fontId="0" fillId="0" borderId="30" xfId="0" applyNumberFormat="1" applyBorder="1"/>
    <xf numFmtId="164" fontId="0" fillId="4" borderId="54" xfId="0" applyNumberFormat="1" applyFill="1" applyBorder="1"/>
    <xf numFmtId="164" fontId="0" fillId="4" borderId="8" xfId="0" applyNumberFormat="1" applyFill="1" applyBorder="1" applyAlignment="1">
      <alignment horizontal="center"/>
    </xf>
    <xf numFmtId="164" fontId="0" fillId="0" borderId="29" xfId="0" applyNumberFormat="1" applyBorder="1"/>
    <xf numFmtId="164" fontId="0" fillId="0" borderId="55" xfId="0" applyNumberFormat="1" applyBorder="1"/>
    <xf numFmtId="164" fontId="0" fillId="4" borderId="52" xfId="0" applyNumberFormat="1" applyFill="1" applyBorder="1"/>
    <xf numFmtId="164" fontId="0" fillId="4" borderId="10" xfId="0" applyNumberFormat="1" applyFill="1" applyBorder="1"/>
    <xf numFmtId="0" fontId="0" fillId="0" borderId="0" xfId="0" applyAlignment="1">
      <alignment horizontal="left"/>
    </xf>
    <xf numFmtId="164" fontId="3" fillId="0" borderId="1" xfId="0" applyNumberFormat="1" applyFont="1" applyBorder="1"/>
    <xf numFmtId="0" fontId="0" fillId="0" borderId="56" xfId="0" applyBorder="1"/>
    <xf numFmtId="0" fontId="0" fillId="0" borderId="56" xfId="0" applyBorder="1" applyAlignment="1">
      <alignment horizontal="left"/>
    </xf>
    <xf numFmtId="164" fontId="4" fillId="0" borderId="1" xfId="0" applyNumberFormat="1" applyFont="1" applyBorder="1"/>
    <xf numFmtId="164" fontId="4" fillId="0" borderId="2" xfId="0" applyNumberFormat="1" applyFont="1" applyBorder="1"/>
    <xf numFmtId="164" fontId="0" fillId="0" borderId="1" xfId="0" applyNumberFormat="1" applyFont="1" applyBorder="1"/>
    <xf numFmtId="164" fontId="0" fillId="0" borderId="2" xfId="0" applyNumberFormat="1" applyFont="1" applyBorder="1"/>
    <xf numFmtId="0" fontId="4" fillId="0" borderId="46" xfId="0" applyFont="1" applyBorder="1" applyAlignment="1">
      <alignment horizontal="center"/>
    </xf>
    <xf numFmtId="0" fontId="4" fillId="0" borderId="47" xfId="0" applyFont="1" applyBorder="1" applyAlignment="1">
      <alignment horizontal="center"/>
    </xf>
    <xf numFmtId="164" fontId="4" fillId="0" borderId="3" xfId="0" applyNumberFormat="1" applyFont="1" applyBorder="1"/>
    <xf numFmtId="164" fontId="4" fillId="0" borderId="19" xfId="0" applyNumberFormat="1" applyFont="1" applyBorder="1"/>
    <xf numFmtId="164" fontId="4" fillId="0" borderId="20" xfId="0" applyNumberFormat="1" applyFont="1" applyBorder="1"/>
    <xf numFmtId="164" fontId="0" fillId="0" borderId="19" xfId="0" applyNumberFormat="1" applyFont="1" applyBorder="1"/>
    <xf numFmtId="164" fontId="0" fillId="0" borderId="20" xfId="0" applyNumberFormat="1" applyFont="1" applyBorder="1"/>
    <xf numFmtId="164" fontId="0" fillId="4" borderId="21" xfId="0" applyNumberFormat="1" applyFont="1" applyFill="1" applyBorder="1"/>
    <xf numFmtId="164" fontId="0" fillId="4" borderId="22" xfId="0" applyNumberFormat="1" applyFont="1" applyFill="1" applyBorder="1"/>
    <xf numFmtId="0" fontId="0" fillId="0" borderId="0" xfId="0" applyFont="1"/>
    <xf numFmtId="164" fontId="0" fillId="4" borderId="61" xfId="0" applyNumberFormat="1" applyFill="1" applyBorder="1"/>
    <xf numFmtId="164" fontId="0" fillId="4" borderId="60" xfId="0" applyNumberFormat="1" applyFill="1" applyBorder="1" applyAlignment="1"/>
    <xf numFmtId="164" fontId="4" fillId="4" borderId="24" xfId="0" applyNumberFormat="1" applyFont="1" applyFill="1" applyBorder="1" applyAlignment="1"/>
    <xf numFmtId="164" fontId="4" fillId="4" borderId="10" xfId="0" applyNumberFormat="1" applyFont="1" applyFill="1" applyBorder="1" applyAlignment="1"/>
    <xf numFmtId="164" fontId="5" fillId="0" borderId="1" xfId="0" applyNumberFormat="1" applyFont="1" applyBorder="1"/>
    <xf numFmtId="0" fontId="0" fillId="0" borderId="0" xfId="0" applyFill="1"/>
    <xf numFmtId="0" fontId="0" fillId="0" borderId="62" xfId="0" applyBorder="1" applyAlignment="1">
      <alignment horizontal="center"/>
    </xf>
    <xf numFmtId="164" fontId="5" fillId="0" borderId="3" xfId="0" applyNumberFormat="1" applyFont="1" applyBorder="1"/>
    <xf numFmtId="165" fontId="0" fillId="4" borderId="6" xfId="0" applyNumberFormat="1" applyFill="1" applyBorder="1"/>
    <xf numFmtId="0" fontId="0" fillId="0" borderId="0" xfId="0" applyFill="1" applyAlignment="1">
      <alignment horizontal="right"/>
    </xf>
    <xf numFmtId="0" fontId="0" fillId="0" borderId="0" xfId="0" applyFont="1" applyFill="1"/>
    <xf numFmtId="0" fontId="4" fillId="0" borderId="46" xfId="0" applyFont="1" applyFill="1" applyBorder="1" applyAlignment="1">
      <alignment horizontal="center"/>
    </xf>
    <xf numFmtId="0" fontId="6" fillId="0" borderId="45" xfId="0" applyFont="1"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34" xfId="0" applyBorder="1" applyAlignment="1">
      <alignment horizontal="center"/>
    </xf>
    <xf numFmtId="0" fontId="0" fillId="0" borderId="38" xfId="0" applyBorder="1" applyAlignment="1">
      <alignment horizontal="center"/>
    </xf>
    <xf numFmtId="0" fontId="0" fillId="0" borderId="33" xfId="0" applyBorder="1" applyAlignment="1">
      <alignment horizontal="center"/>
    </xf>
    <xf numFmtId="0" fontId="4" fillId="0" borderId="38" xfId="0" applyFont="1" applyBorder="1" applyAlignment="1">
      <alignment horizontal="center"/>
    </xf>
    <xf numFmtId="0" fontId="4" fillId="0" borderId="33" xfId="0" applyFont="1" applyBorder="1" applyAlignment="1">
      <alignment horizontal="center"/>
    </xf>
    <xf numFmtId="0" fontId="4" fillId="0" borderId="51" xfId="0" applyFont="1" applyBorder="1" applyAlignment="1">
      <alignment horizontal="center"/>
    </xf>
    <xf numFmtId="164" fontId="0" fillId="4" borderId="10" xfId="0" applyNumberFormat="1" applyFill="1" applyBorder="1" applyAlignment="1"/>
    <xf numFmtId="0" fontId="3" fillId="0" borderId="0" xfId="0" applyFont="1"/>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164" fontId="0" fillId="4" borderId="8" xfId="0" applyNumberFormat="1" applyFill="1" applyBorder="1" applyAlignment="1">
      <alignment horizontal="center"/>
    </xf>
    <xf numFmtId="164" fontId="0" fillId="4" borderId="10" xfId="0" applyNumberFormat="1" applyFill="1" applyBorder="1" applyAlignment="1">
      <alignment horizontal="center"/>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164" fontId="0" fillId="4" borderId="23" xfId="0" applyNumberFormat="1" applyFill="1" applyBorder="1" applyAlignment="1">
      <alignment horizontal="center"/>
    </xf>
    <xf numFmtId="164" fontId="0" fillId="4" borderId="24" xfId="0" applyNumberFormat="1" applyFill="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center" vertical="center"/>
    </xf>
    <xf numFmtId="0" fontId="6" fillId="0" borderId="45" xfId="0" applyFont="1" applyBorder="1" applyAlignment="1">
      <alignment horizontal="center"/>
    </xf>
    <xf numFmtId="0" fontId="6" fillId="0" borderId="46" xfId="0" applyFont="1" applyBorder="1" applyAlignment="1">
      <alignment horizontal="center"/>
    </xf>
    <xf numFmtId="164" fontId="0" fillId="4" borderId="9" xfId="0" applyNumberFormat="1" applyFill="1" applyBorder="1" applyAlignment="1">
      <alignment horizontal="center"/>
    </xf>
    <xf numFmtId="164" fontId="0" fillId="4" borderId="23" xfId="0" applyNumberFormat="1" applyFont="1" applyFill="1" applyBorder="1" applyAlignment="1">
      <alignment horizontal="center"/>
    </xf>
    <xf numFmtId="164" fontId="0" fillId="4" borderId="24" xfId="0" applyNumberFormat="1" applyFont="1" applyFill="1" applyBorder="1" applyAlignment="1">
      <alignment horizontal="center"/>
    </xf>
    <xf numFmtId="0" fontId="0" fillId="0" borderId="45" xfId="0" applyFont="1" applyBorder="1" applyAlignment="1">
      <alignment horizontal="center"/>
    </xf>
    <xf numFmtId="0" fontId="0" fillId="0" borderId="46" xfId="0" applyFont="1" applyBorder="1" applyAlignment="1">
      <alignment horizont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4"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164" fontId="0" fillId="4" borderId="31" xfId="0" applyNumberFormat="1" applyFill="1" applyBorder="1" applyAlignment="1">
      <alignment horizontal="center"/>
    </xf>
    <xf numFmtId="164" fontId="0" fillId="4" borderId="32"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2"/>
  <sheetViews>
    <sheetView workbookViewId="0">
      <pane xSplit="1" topLeftCell="B1" activePane="topRight" state="frozen"/>
      <selection pane="topRight" activeCell="H17" sqref="H17"/>
    </sheetView>
  </sheetViews>
  <sheetFormatPr baseColWidth="10" defaultColWidth="11.1640625" defaultRowHeight="16" x14ac:dyDescent="0.2"/>
  <cols>
    <col min="1" max="1" width="15.83203125" customWidth="1"/>
    <col min="2" max="4" width="11.6640625" bestFit="1" customWidth="1"/>
    <col min="7" max="7" width="11.6640625" bestFit="1" customWidth="1"/>
    <col min="13" max="13" width="11.6640625" bestFit="1" customWidth="1"/>
    <col min="15" max="15" width="11.6640625" bestFit="1" customWidth="1"/>
    <col min="21" max="21" width="12.1640625" customWidth="1"/>
    <col min="33" max="34" width="11.6640625" bestFit="1" customWidth="1"/>
  </cols>
  <sheetData>
    <row r="1" spans="1:42"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0"/>
      <c r="AF1" s="121" t="s">
        <v>41</v>
      </c>
      <c r="AG1" s="122"/>
      <c r="AH1" s="119" t="s">
        <v>26</v>
      </c>
    </row>
    <row r="2" spans="1:42"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22" t="s">
        <v>28</v>
      </c>
      <c r="AF2" s="27" t="s">
        <v>27</v>
      </c>
      <c r="AG2" s="28" t="s">
        <v>28</v>
      </c>
      <c r="AH2" s="120"/>
    </row>
    <row r="3" spans="1:42" x14ac:dyDescent="0.2">
      <c r="A3" s="3" t="s">
        <v>15</v>
      </c>
      <c r="B3" s="10">
        <v>0</v>
      </c>
      <c r="C3" s="11"/>
      <c r="D3" s="10"/>
      <c r="E3" s="11"/>
      <c r="F3" s="10"/>
      <c r="G3" s="11"/>
      <c r="H3" s="10"/>
      <c r="I3" s="11">
        <f>(164000+88160+100320)/24*4</f>
        <v>58746.666666666664</v>
      </c>
      <c r="J3" s="10"/>
      <c r="K3" s="11"/>
      <c r="L3" s="10"/>
      <c r="M3" s="11"/>
      <c r="N3" s="10"/>
      <c r="O3" s="11">
        <f>(164000+88160+100320)/24*6</f>
        <v>88120</v>
      </c>
      <c r="P3" s="10"/>
      <c r="Q3" s="11"/>
      <c r="R3" s="10"/>
      <c r="S3" s="11"/>
      <c r="T3" s="10"/>
      <c r="U3" s="11">
        <f>(164000+88160+100320)/24*6</f>
        <v>88120</v>
      </c>
      <c r="V3" s="10"/>
      <c r="W3" s="11"/>
      <c r="X3" s="10"/>
      <c r="Y3" s="11"/>
      <c r="Z3" s="10"/>
      <c r="AA3" s="11">
        <f>(164000+88160+100320)/24*6</f>
        <v>88120</v>
      </c>
      <c r="AB3" s="10"/>
      <c r="AC3" s="11">
        <f>(164000+88160+100320)/24*2</f>
        <v>29373.333333333332</v>
      </c>
      <c r="AD3" s="12"/>
      <c r="AE3" s="23"/>
      <c r="AF3" s="65">
        <f>B3+D3+F3+H3+J3+L3+N3+P3+R3+T3+V3+X3+Z3+AB3+AD3</f>
        <v>0</v>
      </c>
      <c r="AG3" s="69">
        <f>C3+E3+G3+I3+K3+M3+O3+Q3+S3+U3+W3+Y3+AA3+AC3+AE3</f>
        <v>352479.99999999994</v>
      </c>
      <c r="AH3" s="64">
        <f>AF3+AG3</f>
        <v>352479.99999999994</v>
      </c>
      <c r="AJ3" t="s">
        <v>124</v>
      </c>
      <c r="AM3" t="s">
        <v>125</v>
      </c>
      <c r="AP3" t="s">
        <v>126</v>
      </c>
    </row>
    <row r="4" spans="1:42" x14ac:dyDescent="0.2">
      <c r="A4" s="3" t="s">
        <v>16</v>
      </c>
      <c r="B4" s="10"/>
      <c r="C4" s="11"/>
      <c r="D4" s="10"/>
      <c r="E4" s="11"/>
      <c r="F4" s="10"/>
      <c r="G4" s="11"/>
      <c r="H4" s="10"/>
      <c r="I4" s="11"/>
      <c r="J4" s="10"/>
      <c r="K4" s="11"/>
      <c r="L4" s="10"/>
      <c r="M4" s="11"/>
      <c r="N4" s="10"/>
      <c r="O4" s="11"/>
      <c r="P4" s="10"/>
      <c r="Q4" s="11"/>
      <c r="R4" s="10"/>
      <c r="S4" s="11"/>
      <c r="T4" s="10"/>
      <c r="U4" s="11"/>
      <c r="V4" s="10"/>
      <c r="W4" s="11"/>
      <c r="X4" s="10"/>
      <c r="Y4" s="11"/>
      <c r="Z4" s="10"/>
      <c r="AA4" s="11"/>
      <c r="AB4" s="10"/>
      <c r="AC4" s="11"/>
      <c r="AD4" s="12"/>
      <c r="AE4" s="23"/>
      <c r="AF4" s="65">
        <f t="shared" ref="AF4:AG14" si="0">B4+D4+F4+H4+J4+L4+N4+P4+R4+T4+V4+X4+Z4+AB4+AD4</f>
        <v>0</v>
      </c>
      <c r="AG4" s="69">
        <f t="shared" ref="AG4:AG13" si="1">C4+E4+G4+I4+K4+M4+O4+Q4+S4+U4+W4+Y4+AA4+AC4+AE4</f>
        <v>0</v>
      </c>
      <c r="AH4" s="64">
        <f t="shared" ref="AH4:AH14" si="2">AF4+AG4</f>
        <v>0</v>
      </c>
    </row>
    <row r="5" spans="1:42" x14ac:dyDescent="0.2">
      <c r="A5" s="3" t="s">
        <v>17</v>
      </c>
      <c r="B5" s="10"/>
      <c r="C5" s="11"/>
      <c r="D5" s="10"/>
      <c r="E5" s="11"/>
      <c r="F5" s="10"/>
      <c r="G5" s="11"/>
      <c r="H5" s="10"/>
      <c r="I5" s="11"/>
      <c r="J5" s="10"/>
      <c r="K5" s="11"/>
      <c r="L5" s="10"/>
      <c r="M5" s="11"/>
      <c r="N5" s="10"/>
      <c r="O5" s="11"/>
      <c r="P5" s="10"/>
      <c r="Q5" s="11"/>
      <c r="R5" s="10"/>
      <c r="S5" s="11"/>
      <c r="T5" s="10"/>
      <c r="U5" s="11"/>
      <c r="V5" s="10"/>
      <c r="W5" s="11"/>
      <c r="X5" s="10"/>
      <c r="Y5" s="11"/>
      <c r="Z5" s="10"/>
      <c r="AA5" s="11"/>
      <c r="AB5" s="10"/>
      <c r="AC5" s="11"/>
      <c r="AD5" s="12"/>
      <c r="AE5" s="23"/>
      <c r="AF5" s="65">
        <f t="shared" si="0"/>
        <v>0</v>
      </c>
      <c r="AG5" s="69">
        <f t="shared" si="1"/>
        <v>0</v>
      </c>
      <c r="AH5" s="64">
        <f t="shared" si="2"/>
        <v>0</v>
      </c>
    </row>
    <row r="6" spans="1:42" x14ac:dyDescent="0.2">
      <c r="A6" s="3" t="s">
        <v>18</v>
      </c>
      <c r="B6" s="10"/>
      <c r="C6" s="11"/>
      <c r="D6" s="10"/>
      <c r="E6" s="11"/>
      <c r="F6" s="10"/>
      <c r="G6" s="11"/>
      <c r="H6" s="10"/>
      <c r="I6" s="11"/>
      <c r="J6" s="10"/>
      <c r="K6" s="11"/>
      <c r="L6" s="10"/>
      <c r="M6" s="11"/>
      <c r="N6" s="10"/>
      <c r="O6" s="11"/>
      <c r="P6" s="10"/>
      <c r="Q6" s="11"/>
      <c r="R6" s="10"/>
      <c r="S6" s="11"/>
      <c r="T6" s="10"/>
      <c r="U6" s="11"/>
      <c r="V6" s="10"/>
      <c r="W6" s="11"/>
      <c r="X6" s="10"/>
      <c r="Y6" s="11"/>
      <c r="Z6" s="10"/>
      <c r="AA6" s="11"/>
      <c r="AB6" s="10"/>
      <c r="AC6" s="11"/>
      <c r="AD6" s="12"/>
      <c r="AE6" s="23"/>
      <c r="AF6" s="65">
        <f t="shared" si="0"/>
        <v>0</v>
      </c>
      <c r="AG6" s="69">
        <f t="shared" si="1"/>
        <v>0</v>
      </c>
      <c r="AH6" s="64">
        <f t="shared" si="2"/>
        <v>0</v>
      </c>
    </row>
    <row r="7" spans="1:42" x14ac:dyDescent="0.2">
      <c r="A7" s="3" t="s">
        <v>19</v>
      </c>
      <c r="B7" s="10"/>
      <c r="C7" s="11"/>
      <c r="D7" s="10"/>
      <c r="E7" s="11"/>
      <c r="F7" s="10"/>
      <c r="G7" s="11"/>
      <c r="H7" s="10"/>
      <c r="I7" s="11"/>
      <c r="J7" s="10"/>
      <c r="K7" s="11"/>
      <c r="L7" s="10"/>
      <c r="M7" s="11"/>
      <c r="N7" s="10"/>
      <c r="O7" s="11"/>
      <c r="P7" s="10"/>
      <c r="Q7" s="11"/>
      <c r="R7" s="10"/>
      <c r="S7" s="11">
        <f>75240/18*6</f>
        <v>25080</v>
      </c>
      <c r="T7" s="10"/>
      <c r="U7" s="11"/>
      <c r="V7" s="10"/>
      <c r="W7" s="11"/>
      <c r="X7" s="10"/>
      <c r="Y7" s="11">
        <f>75240/18*6</f>
        <v>25080</v>
      </c>
      <c r="Z7" s="10"/>
      <c r="AA7" s="11"/>
      <c r="AB7" s="10"/>
      <c r="AC7" s="11"/>
      <c r="AD7" s="12"/>
      <c r="AE7" s="23">
        <f>75240/18*6</f>
        <v>25080</v>
      </c>
      <c r="AF7" s="65">
        <f t="shared" si="0"/>
        <v>0</v>
      </c>
      <c r="AG7" s="69">
        <f t="shared" si="1"/>
        <v>75240</v>
      </c>
      <c r="AH7" s="64">
        <f t="shared" si="2"/>
        <v>75240</v>
      </c>
      <c r="AJ7" t="s">
        <v>113</v>
      </c>
    </row>
    <row r="8" spans="1:42" x14ac:dyDescent="0.2">
      <c r="A8" s="3" t="s">
        <v>20</v>
      </c>
      <c r="B8" s="10"/>
      <c r="C8" s="11"/>
      <c r="D8" s="10"/>
      <c r="E8" s="11"/>
      <c r="F8" s="10"/>
      <c r="G8" s="11"/>
      <c r="H8" s="10"/>
      <c r="I8" s="11"/>
      <c r="J8" s="10"/>
      <c r="K8" s="11"/>
      <c r="L8" s="10"/>
      <c r="M8" s="11"/>
      <c r="N8" s="10"/>
      <c r="O8" s="11"/>
      <c r="P8" s="10"/>
      <c r="Q8" s="11"/>
      <c r="R8" s="10"/>
      <c r="S8" s="11"/>
      <c r="T8" s="10"/>
      <c r="U8" s="11"/>
      <c r="V8" s="10"/>
      <c r="W8" s="11"/>
      <c r="X8" s="10"/>
      <c r="Y8" s="11"/>
      <c r="Z8" s="10"/>
      <c r="AA8" s="11"/>
      <c r="AB8" s="10"/>
      <c r="AC8" s="11"/>
      <c r="AD8" s="12"/>
      <c r="AE8" s="23"/>
      <c r="AF8" s="65">
        <f t="shared" si="0"/>
        <v>0</v>
      </c>
      <c r="AG8" s="69">
        <f t="shared" si="1"/>
        <v>0</v>
      </c>
      <c r="AH8" s="64">
        <f t="shared" si="2"/>
        <v>0</v>
      </c>
    </row>
    <row r="9" spans="1:42" x14ac:dyDescent="0.2">
      <c r="A9" s="3" t="s">
        <v>21</v>
      </c>
      <c r="B9" s="10"/>
      <c r="C9" s="11"/>
      <c r="D9" s="10"/>
      <c r="E9" s="11"/>
      <c r="F9" s="10"/>
      <c r="G9" s="11"/>
      <c r="H9" s="10"/>
      <c r="I9" s="11"/>
      <c r="J9" s="10"/>
      <c r="K9" s="11"/>
      <c r="L9" s="10"/>
      <c r="M9" s="11"/>
      <c r="N9" s="10"/>
      <c r="O9" s="11"/>
      <c r="P9" s="10"/>
      <c r="Q9" s="11"/>
      <c r="R9" s="10"/>
      <c r="S9" s="11"/>
      <c r="T9" s="10"/>
      <c r="U9" s="11"/>
      <c r="V9" s="10"/>
      <c r="W9" s="11"/>
      <c r="X9" s="10"/>
      <c r="Y9" s="11"/>
      <c r="Z9" s="10"/>
      <c r="AA9" s="11"/>
      <c r="AB9" s="10"/>
      <c r="AC9" s="11"/>
      <c r="AD9" s="12"/>
      <c r="AE9" s="23"/>
      <c r="AF9" s="65">
        <f t="shared" si="0"/>
        <v>0</v>
      </c>
      <c r="AG9" s="69">
        <f t="shared" si="1"/>
        <v>0</v>
      </c>
      <c r="AH9" s="64">
        <f t="shared" si="2"/>
        <v>0</v>
      </c>
    </row>
    <row r="10" spans="1:42" x14ac:dyDescent="0.2">
      <c r="A10" s="3" t="s">
        <v>22</v>
      </c>
      <c r="B10" s="10"/>
      <c r="C10" s="11"/>
      <c r="D10" s="10"/>
      <c r="E10" s="11"/>
      <c r="F10" s="10"/>
      <c r="G10" s="11"/>
      <c r="H10" s="10"/>
      <c r="I10" s="11"/>
      <c r="J10" s="10"/>
      <c r="K10" s="11"/>
      <c r="L10" s="10"/>
      <c r="M10" s="11"/>
      <c r="N10" s="10"/>
      <c r="O10" s="11"/>
      <c r="P10" s="10"/>
      <c r="Q10" s="11"/>
      <c r="R10" s="10"/>
      <c r="S10" s="11"/>
      <c r="T10" s="10"/>
      <c r="U10" s="11"/>
      <c r="V10" s="10"/>
      <c r="W10" s="11"/>
      <c r="X10" s="10"/>
      <c r="Y10" s="11"/>
      <c r="Z10" s="10"/>
      <c r="AA10" s="11"/>
      <c r="AB10" s="10"/>
      <c r="AC10" s="11"/>
      <c r="AD10" s="12"/>
      <c r="AE10" s="23"/>
      <c r="AF10" s="65">
        <f t="shared" si="0"/>
        <v>0</v>
      </c>
      <c r="AG10" s="69">
        <f t="shared" si="1"/>
        <v>0</v>
      </c>
      <c r="AH10" s="64">
        <f t="shared" si="2"/>
        <v>0</v>
      </c>
    </row>
    <row r="11" spans="1:42" x14ac:dyDescent="0.2">
      <c r="A11" s="3" t="s">
        <v>23</v>
      </c>
      <c r="B11" s="10"/>
      <c r="C11" s="11"/>
      <c r="D11" s="10"/>
      <c r="E11" s="11"/>
      <c r="F11" s="10"/>
      <c r="G11" s="11"/>
      <c r="H11" s="10"/>
      <c r="I11" s="11"/>
      <c r="J11" s="10"/>
      <c r="K11" s="11">
        <f>51084/12*3</f>
        <v>12771</v>
      </c>
      <c r="L11" s="10"/>
      <c r="N11" s="10"/>
      <c r="O11" s="11"/>
      <c r="P11" s="10"/>
      <c r="Q11" s="11">
        <f>51084/12*6</f>
        <v>25542</v>
      </c>
      <c r="R11" s="10"/>
      <c r="S11" s="11"/>
      <c r="T11" s="10"/>
      <c r="U11" s="11"/>
      <c r="V11" s="10"/>
      <c r="W11" s="11"/>
      <c r="X11" s="10"/>
      <c r="Y11" s="11"/>
      <c r="Z11" s="10"/>
      <c r="AA11" s="11"/>
      <c r="AB11" s="10"/>
      <c r="AC11" s="11"/>
      <c r="AD11" s="12"/>
      <c r="AE11" s="23"/>
      <c r="AF11" s="65">
        <f t="shared" si="0"/>
        <v>0</v>
      </c>
      <c r="AG11" s="69">
        <f>C11+E11+G11+I11+M11+K11+O11+Q11+S11+U11+W11+Y11+AA11+AC11+AE11</f>
        <v>38313</v>
      </c>
      <c r="AH11" s="64">
        <f t="shared" si="2"/>
        <v>38313</v>
      </c>
      <c r="AJ11" t="s">
        <v>204</v>
      </c>
    </row>
    <row r="12" spans="1:42" x14ac:dyDescent="0.2">
      <c r="A12" s="3" t="s">
        <v>24</v>
      </c>
      <c r="B12" s="10"/>
      <c r="C12" s="11"/>
      <c r="D12" s="10"/>
      <c r="E12" s="11"/>
      <c r="F12" s="10"/>
      <c r="G12" s="11"/>
      <c r="H12" s="10"/>
      <c r="I12" s="11"/>
      <c r="J12" s="10"/>
      <c r="K12" s="11"/>
      <c r="L12" s="10"/>
      <c r="M12" s="11"/>
      <c r="N12" s="10"/>
      <c r="O12" s="11"/>
      <c r="P12" s="10"/>
      <c r="Q12" s="11"/>
      <c r="R12" s="10"/>
      <c r="S12" s="11"/>
      <c r="T12" s="10"/>
      <c r="U12" s="11"/>
      <c r="V12" s="10"/>
      <c r="W12" s="11"/>
      <c r="X12" s="10"/>
      <c r="Y12" s="11"/>
      <c r="Z12" s="10"/>
      <c r="AA12" s="11"/>
      <c r="AB12" s="10"/>
      <c r="AC12" s="11"/>
      <c r="AD12" s="12"/>
      <c r="AE12" s="23"/>
      <c r="AF12" s="65">
        <f t="shared" si="0"/>
        <v>0</v>
      </c>
      <c r="AG12" s="69">
        <f t="shared" si="1"/>
        <v>0</v>
      </c>
      <c r="AH12" s="64">
        <f t="shared" si="2"/>
        <v>0</v>
      </c>
    </row>
    <row r="13" spans="1:42" ht="17" thickBot="1" x14ac:dyDescent="0.25">
      <c r="A13" s="4" t="s">
        <v>25</v>
      </c>
      <c r="B13" s="14"/>
      <c r="C13" s="15"/>
      <c r="D13" s="14"/>
      <c r="E13" s="15"/>
      <c r="F13" s="14"/>
      <c r="G13" s="15"/>
      <c r="H13" s="14"/>
      <c r="I13" s="15"/>
      <c r="J13" s="14"/>
      <c r="K13" s="15"/>
      <c r="L13" s="14"/>
      <c r="M13" s="15"/>
      <c r="N13" s="14"/>
      <c r="O13" s="15"/>
      <c r="P13" s="14"/>
      <c r="Q13" s="15"/>
      <c r="R13" s="14"/>
      <c r="S13" s="15"/>
      <c r="T13" s="14"/>
      <c r="U13" s="15"/>
      <c r="V13" s="14"/>
      <c r="W13" s="15"/>
      <c r="X13" s="14"/>
      <c r="Y13" s="15"/>
      <c r="Z13" s="14"/>
      <c r="AA13" s="15"/>
      <c r="AB13" s="14"/>
      <c r="AC13" s="15"/>
      <c r="AD13" s="16"/>
      <c r="AE13" s="24"/>
      <c r="AF13" s="66">
        <f t="shared" si="0"/>
        <v>0</v>
      </c>
      <c r="AG13" s="70">
        <f t="shared" si="1"/>
        <v>0</v>
      </c>
      <c r="AH13" s="70">
        <f t="shared" si="2"/>
        <v>0</v>
      </c>
    </row>
    <row r="14" spans="1:42" ht="17" thickBot="1" x14ac:dyDescent="0.25">
      <c r="A14" s="5" t="s">
        <v>26</v>
      </c>
      <c r="B14" s="18">
        <f>SUM(B3:B13)</f>
        <v>0</v>
      </c>
      <c r="C14" s="19">
        <f t="shared" ref="C14:AE14" si="3">SUM(C3:C13)</f>
        <v>0</v>
      </c>
      <c r="D14" s="18">
        <f t="shared" si="3"/>
        <v>0</v>
      </c>
      <c r="E14" s="19">
        <f t="shared" si="3"/>
        <v>0</v>
      </c>
      <c r="F14" s="18">
        <f>SUM(F3:F13)</f>
        <v>0</v>
      </c>
      <c r="G14" s="19">
        <f>SUM(G3:G13)</f>
        <v>0</v>
      </c>
      <c r="H14" s="18">
        <f t="shared" si="3"/>
        <v>0</v>
      </c>
      <c r="I14" s="19">
        <f t="shared" si="3"/>
        <v>58746.666666666664</v>
      </c>
      <c r="J14" s="18">
        <f t="shared" si="3"/>
        <v>0</v>
      </c>
      <c r="K14" s="19">
        <f t="shared" si="3"/>
        <v>12771</v>
      </c>
      <c r="L14" s="18">
        <f t="shared" si="3"/>
        <v>0</v>
      </c>
      <c r="M14" s="19">
        <f t="shared" si="3"/>
        <v>0</v>
      </c>
      <c r="N14" s="18">
        <f t="shared" si="3"/>
        <v>0</v>
      </c>
      <c r="O14" s="19">
        <f t="shared" si="3"/>
        <v>88120</v>
      </c>
      <c r="P14" s="18">
        <f t="shared" si="3"/>
        <v>0</v>
      </c>
      <c r="Q14" s="19">
        <f t="shared" si="3"/>
        <v>25542</v>
      </c>
      <c r="R14" s="18">
        <f t="shared" si="3"/>
        <v>0</v>
      </c>
      <c r="S14" s="19">
        <f t="shared" si="3"/>
        <v>25080</v>
      </c>
      <c r="T14" s="18">
        <f t="shared" si="3"/>
        <v>0</v>
      </c>
      <c r="U14" s="19">
        <f t="shared" si="3"/>
        <v>88120</v>
      </c>
      <c r="V14" s="18">
        <f t="shared" si="3"/>
        <v>0</v>
      </c>
      <c r="W14" s="19">
        <f t="shared" si="3"/>
        <v>0</v>
      </c>
      <c r="X14" s="18">
        <f t="shared" si="3"/>
        <v>0</v>
      </c>
      <c r="Y14" s="19">
        <f t="shared" si="3"/>
        <v>25080</v>
      </c>
      <c r="Z14" s="18">
        <f t="shared" si="3"/>
        <v>0</v>
      </c>
      <c r="AA14" s="19">
        <f t="shared" si="3"/>
        <v>88120</v>
      </c>
      <c r="AB14" s="18">
        <f t="shared" si="3"/>
        <v>0</v>
      </c>
      <c r="AC14" s="19">
        <f t="shared" si="3"/>
        <v>29373.333333333332</v>
      </c>
      <c r="AD14" s="20">
        <f t="shared" si="3"/>
        <v>0</v>
      </c>
      <c r="AE14" s="21">
        <f t="shared" si="3"/>
        <v>25080</v>
      </c>
      <c r="AF14" s="67">
        <f t="shared" si="0"/>
        <v>0</v>
      </c>
      <c r="AG14" s="71">
        <f t="shared" si="0"/>
        <v>466032.99999999994</v>
      </c>
      <c r="AH14" s="71">
        <f t="shared" si="2"/>
        <v>466032.99999999994</v>
      </c>
    </row>
    <row r="15" spans="1:42" ht="17" thickBot="1" x14ac:dyDescent="0.25">
      <c r="A15" s="6" t="s">
        <v>29</v>
      </c>
      <c r="B15" s="123">
        <f>B14+C14</f>
        <v>0</v>
      </c>
      <c r="C15" s="124"/>
      <c r="D15" s="123">
        <f>D14+E14</f>
        <v>0</v>
      </c>
      <c r="E15" s="124"/>
      <c r="F15" s="123">
        <f>F14+G14</f>
        <v>0</v>
      </c>
      <c r="G15" s="124"/>
      <c r="H15" s="123">
        <f>H14+I14</f>
        <v>58746.666666666664</v>
      </c>
      <c r="I15" s="124"/>
      <c r="J15" s="123">
        <f>J14+K14</f>
        <v>12771</v>
      </c>
      <c r="K15" s="124"/>
      <c r="L15" s="123">
        <f>L14+M14</f>
        <v>0</v>
      </c>
      <c r="M15" s="124"/>
      <c r="N15" s="123">
        <f>N14+O14</f>
        <v>88120</v>
      </c>
      <c r="O15" s="124"/>
      <c r="P15" s="123">
        <f>P14+Q14</f>
        <v>25542</v>
      </c>
      <c r="Q15" s="124"/>
      <c r="R15" s="123">
        <f>R14+S14</f>
        <v>25080</v>
      </c>
      <c r="S15" s="124"/>
      <c r="T15" s="123">
        <f>T14+U14</f>
        <v>88120</v>
      </c>
      <c r="U15" s="124"/>
      <c r="V15" s="123">
        <f>V14+W14</f>
        <v>0</v>
      </c>
      <c r="W15" s="124"/>
      <c r="X15" s="123">
        <f>X14+Y14</f>
        <v>25080</v>
      </c>
      <c r="Y15" s="124"/>
      <c r="Z15" s="123">
        <f>Z14+AA14</f>
        <v>88120</v>
      </c>
      <c r="AA15" s="124"/>
      <c r="AB15" s="123">
        <f>AB14+AC14</f>
        <v>29373.333333333332</v>
      </c>
      <c r="AC15" s="124"/>
      <c r="AD15" s="123">
        <f>AD14+AE14</f>
        <v>25080</v>
      </c>
      <c r="AE15" s="118"/>
      <c r="AF15" s="68"/>
      <c r="AG15" s="46"/>
      <c r="AH15" s="72">
        <f t="shared" ref="AH15" si="4">SUM(B15:AE15)</f>
        <v>466032.99999999994</v>
      </c>
    </row>
    <row r="16" spans="1:42" ht="17" thickBot="1" x14ac:dyDescent="0.25">
      <c r="A16" s="6" t="s">
        <v>254</v>
      </c>
      <c r="B16" s="123">
        <f>1.07*B15</f>
        <v>0</v>
      </c>
      <c r="C16" s="124"/>
      <c r="D16" s="123">
        <f t="shared" ref="D16" si="5">1.07*D15</f>
        <v>0</v>
      </c>
      <c r="E16" s="124"/>
      <c r="F16" s="123">
        <f t="shared" ref="F16" si="6">1.07*F15</f>
        <v>0</v>
      </c>
      <c r="G16" s="124"/>
      <c r="H16" s="123">
        <f t="shared" ref="H16" si="7">1.07*H15</f>
        <v>62858.933333333334</v>
      </c>
      <c r="I16" s="124"/>
      <c r="J16" s="123">
        <f t="shared" ref="J16" si="8">1.07*J15</f>
        <v>13664.970000000001</v>
      </c>
      <c r="K16" s="124"/>
      <c r="L16" s="123">
        <f t="shared" ref="L16" si="9">1.07*L15</f>
        <v>0</v>
      </c>
      <c r="M16" s="124"/>
      <c r="N16" s="123">
        <f t="shared" ref="N16" si="10">1.07*N15</f>
        <v>94288.400000000009</v>
      </c>
      <c r="O16" s="124"/>
      <c r="P16" s="123">
        <f t="shared" ref="P16" si="11">1.07*P15</f>
        <v>27329.940000000002</v>
      </c>
      <c r="Q16" s="124"/>
      <c r="R16" s="123">
        <f t="shared" ref="R16" si="12">1.07*R15</f>
        <v>26835.600000000002</v>
      </c>
      <c r="S16" s="124"/>
      <c r="T16" s="123">
        <f t="shared" ref="T16" si="13">1.07*T15</f>
        <v>94288.400000000009</v>
      </c>
      <c r="U16" s="124"/>
      <c r="V16" s="123">
        <f t="shared" ref="V16" si="14">1.07*V15</f>
        <v>0</v>
      </c>
      <c r="W16" s="124"/>
      <c r="X16" s="123">
        <f t="shared" ref="X16" si="15">1.07*X15</f>
        <v>26835.600000000002</v>
      </c>
      <c r="Y16" s="124"/>
      <c r="Z16" s="123">
        <f t="shared" ref="Z16" si="16">1.07*Z15</f>
        <v>94288.400000000009</v>
      </c>
      <c r="AA16" s="124"/>
      <c r="AB16" s="123">
        <f t="shared" ref="AB16" si="17">1.07*AB15</f>
        <v>31429.466666666667</v>
      </c>
      <c r="AC16" s="124"/>
      <c r="AD16" s="123">
        <f t="shared" ref="AD16" si="18">1.07*AD15</f>
        <v>26835.600000000002</v>
      </c>
      <c r="AE16" s="118"/>
      <c r="AF16" s="117">
        <f t="shared" ref="AF16" si="19">1.07*AF15</f>
        <v>0</v>
      </c>
      <c r="AG16" s="118"/>
      <c r="AH16" s="72">
        <f t="shared" ref="AH16" si="20">1.07*AH15</f>
        <v>498655.30999999994</v>
      </c>
    </row>
    <row r="17" spans="1:33" x14ac:dyDescent="0.2">
      <c r="H17" s="113"/>
    </row>
    <row r="18" spans="1:33" ht="17" thickBot="1" x14ac:dyDescent="0.25"/>
    <row r="19" spans="1:33" x14ac:dyDescent="0.2">
      <c r="A19" s="51" t="s">
        <v>33</v>
      </c>
      <c r="B19" s="125"/>
      <c r="C19" s="126"/>
      <c r="D19" s="125"/>
      <c r="E19" s="126"/>
      <c r="F19" s="125"/>
      <c r="G19" s="126"/>
      <c r="H19" s="125" t="s">
        <v>36</v>
      </c>
      <c r="I19" s="126"/>
      <c r="J19" s="125" t="s">
        <v>64</v>
      </c>
      <c r="K19" s="126"/>
      <c r="L19" s="125"/>
      <c r="M19" s="126"/>
      <c r="N19" s="125" t="s">
        <v>65</v>
      </c>
      <c r="O19" s="126"/>
      <c r="P19" s="125" t="s">
        <v>66</v>
      </c>
      <c r="Q19" s="126"/>
      <c r="R19" s="125" t="s">
        <v>67</v>
      </c>
      <c r="S19" s="126"/>
      <c r="T19" s="125" t="s">
        <v>68</v>
      </c>
      <c r="U19" s="126"/>
      <c r="V19" s="125"/>
      <c r="W19" s="126"/>
      <c r="X19" s="125" t="s">
        <v>69</v>
      </c>
      <c r="Y19" s="126"/>
      <c r="Z19" s="125" t="s">
        <v>70</v>
      </c>
      <c r="AA19" s="126"/>
      <c r="AB19" s="125" t="s">
        <v>71</v>
      </c>
      <c r="AC19" s="126"/>
      <c r="AD19" s="125" t="s">
        <v>72</v>
      </c>
      <c r="AE19" s="127"/>
      <c r="AF19" s="62"/>
      <c r="AG19" s="62"/>
    </row>
    <row r="20" spans="1:33" ht="17" thickBot="1" x14ac:dyDescent="0.25">
      <c r="A20" s="52" t="s">
        <v>35</v>
      </c>
      <c r="B20" s="53"/>
      <c r="C20" s="54"/>
      <c r="D20" s="55"/>
      <c r="E20" s="56"/>
      <c r="F20" s="53"/>
      <c r="G20" s="56"/>
      <c r="H20" s="114" t="s">
        <v>37</v>
      </c>
      <c r="I20" s="115"/>
      <c r="J20" s="114" t="s">
        <v>420</v>
      </c>
      <c r="K20" s="115"/>
      <c r="L20" s="53"/>
      <c r="M20" s="56"/>
      <c r="N20" s="114" t="s">
        <v>421</v>
      </c>
      <c r="O20" s="115"/>
      <c r="P20" s="114" t="s">
        <v>422</v>
      </c>
      <c r="Q20" s="115"/>
      <c r="R20" s="114" t="s">
        <v>423</v>
      </c>
      <c r="S20" s="115"/>
      <c r="T20" s="114" t="s">
        <v>424</v>
      </c>
      <c r="U20" s="115"/>
      <c r="V20" s="53"/>
      <c r="W20" s="54"/>
      <c r="X20" s="114" t="s">
        <v>425</v>
      </c>
      <c r="Y20" s="115"/>
      <c r="Z20" s="114" t="s">
        <v>426</v>
      </c>
      <c r="AA20" s="115"/>
      <c r="AB20" s="114" t="s">
        <v>427</v>
      </c>
      <c r="AC20" s="115"/>
      <c r="AD20" s="114" t="s">
        <v>428</v>
      </c>
      <c r="AE20" s="116"/>
      <c r="AF20" s="63"/>
      <c r="AG20" s="63"/>
    </row>
    <row r="24" spans="1:33" x14ac:dyDescent="0.2">
      <c r="A24" s="60" t="s">
        <v>42</v>
      </c>
      <c r="B24" t="s">
        <v>398</v>
      </c>
    </row>
    <row r="25" spans="1:33" x14ac:dyDescent="0.2">
      <c r="A25" s="60"/>
      <c r="B25" t="s">
        <v>281</v>
      </c>
      <c r="C25" t="s">
        <v>399</v>
      </c>
    </row>
    <row r="26" spans="1:33" x14ac:dyDescent="0.2">
      <c r="A26" s="60"/>
      <c r="B26" s="60" t="s">
        <v>34</v>
      </c>
      <c r="C26" t="s">
        <v>38</v>
      </c>
    </row>
    <row r="27" spans="1:33" x14ac:dyDescent="0.2">
      <c r="A27" s="60"/>
      <c r="C27" s="60" t="s">
        <v>37</v>
      </c>
      <c r="D27" t="s">
        <v>39</v>
      </c>
    </row>
    <row r="28" spans="1:33" x14ac:dyDescent="0.2">
      <c r="A28" s="60"/>
      <c r="C28" s="60"/>
    </row>
    <row r="29" spans="1:33" x14ac:dyDescent="0.2">
      <c r="A29" s="60" t="s">
        <v>40</v>
      </c>
      <c r="B29" t="s">
        <v>49</v>
      </c>
    </row>
    <row r="30" spans="1:33" x14ac:dyDescent="0.2">
      <c r="A30" s="60"/>
      <c r="B30" t="s">
        <v>281</v>
      </c>
      <c r="C30" t="s">
        <v>407</v>
      </c>
    </row>
    <row r="31" spans="1:33" x14ac:dyDescent="0.2">
      <c r="A31" s="60"/>
      <c r="B31" s="60" t="s">
        <v>34</v>
      </c>
      <c r="C31" t="s">
        <v>50</v>
      </c>
    </row>
    <row r="32" spans="1:33" x14ac:dyDescent="0.2">
      <c r="A32" s="60"/>
      <c r="C32" s="60" t="s">
        <v>420</v>
      </c>
      <c r="D32" t="s">
        <v>51</v>
      </c>
    </row>
    <row r="33" spans="1:4" x14ac:dyDescent="0.2">
      <c r="A33" s="60"/>
    </row>
    <row r="34" spans="1:4" x14ac:dyDescent="0.2">
      <c r="A34" s="60" t="s">
        <v>412</v>
      </c>
      <c r="B34" t="s">
        <v>401</v>
      </c>
    </row>
    <row r="35" spans="1:4" x14ac:dyDescent="0.2">
      <c r="A35" s="60"/>
      <c r="B35" t="s">
        <v>281</v>
      </c>
      <c r="C35" t="s">
        <v>400</v>
      </c>
    </row>
    <row r="36" spans="1:4" x14ac:dyDescent="0.2">
      <c r="A36" s="60"/>
      <c r="B36" s="60" t="s">
        <v>34</v>
      </c>
      <c r="C36" t="s">
        <v>38</v>
      </c>
    </row>
    <row r="37" spans="1:4" x14ac:dyDescent="0.2">
      <c r="A37" s="60"/>
      <c r="C37" s="60" t="s">
        <v>421</v>
      </c>
      <c r="D37" t="s">
        <v>43</v>
      </c>
    </row>
    <row r="38" spans="1:4" x14ac:dyDescent="0.2">
      <c r="A38" s="60"/>
      <c r="C38" s="60"/>
    </row>
    <row r="39" spans="1:4" x14ac:dyDescent="0.2">
      <c r="A39" s="60" t="s">
        <v>413</v>
      </c>
      <c r="B39" t="s">
        <v>61</v>
      </c>
    </row>
    <row r="40" spans="1:4" x14ac:dyDescent="0.2">
      <c r="A40" s="60"/>
      <c r="B40" t="s">
        <v>281</v>
      </c>
      <c r="C40" t="s">
        <v>411</v>
      </c>
    </row>
    <row r="41" spans="1:4" x14ac:dyDescent="0.2">
      <c r="A41" s="60"/>
      <c r="B41" s="60" t="s">
        <v>34</v>
      </c>
      <c r="C41" t="s">
        <v>62</v>
      </c>
    </row>
    <row r="42" spans="1:4" x14ac:dyDescent="0.2">
      <c r="A42" s="60"/>
      <c r="C42" s="60" t="s">
        <v>422</v>
      </c>
      <c r="D42" t="s">
        <v>63</v>
      </c>
    </row>
    <row r="43" spans="1:4" x14ac:dyDescent="0.2">
      <c r="A43" s="60"/>
    </row>
    <row r="44" spans="1:4" x14ac:dyDescent="0.2">
      <c r="A44" s="60" t="s">
        <v>414</v>
      </c>
      <c r="B44" t="s">
        <v>52</v>
      </c>
    </row>
    <row r="45" spans="1:4" x14ac:dyDescent="0.2">
      <c r="A45" s="60"/>
      <c r="B45" t="s">
        <v>281</v>
      </c>
      <c r="C45" t="s">
        <v>408</v>
      </c>
    </row>
    <row r="46" spans="1:4" x14ac:dyDescent="0.2">
      <c r="A46" s="60"/>
      <c r="B46" s="60" t="s">
        <v>34</v>
      </c>
      <c r="C46" t="s">
        <v>53</v>
      </c>
    </row>
    <row r="47" spans="1:4" x14ac:dyDescent="0.2">
      <c r="A47" s="60"/>
      <c r="C47" s="60" t="s">
        <v>423</v>
      </c>
      <c r="D47" t="s">
        <v>54</v>
      </c>
    </row>
    <row r="48" spans="1:4" x14ac:dyDescent="0.2">
      <c r="A48" s="60"/>
      <c r="C48" s="60"/>
    </row>
    <row r="49" spans="1:4" x14ac:dyDescent="0.2">
      <c r="A49" s="60" t="s">
        <v>415</v>
      </c>
      <c r="B49" t="s">
        <v>402</v>
      </c>
    </row>
    <row r="50" spans="1:4" x14ac:dyDescent="0.2">
      <c r="A50" s="60"/>
      <c r="B50" t="s">
        <v>281</v>
      </c>
      <c r="C50" t="s">
        <v>403</v>
      </c>
    </row>
    <row r="51" spans="1:4" x14ac:dyDescent="0.2">
      <c r="A51" s="60"/>
      <c r="B51" s="60" t="s">
        <v>34</v>
      </c>
      <c r="C51" t="s">
        <v>38</v>
      </c>
    </row>
    <row r="52" spans="1:4" x14ac:dyDescent="0.2">
      <c r="A52" s="60"/>
      <c r="C52" s="60" t="s">
        <v>424</v>
      </c>
      <c r="D52" t="s">
        <v>44</v>
      </c>
    </row>
    <row r="54" spans="1:4" x14ac:dyDescent="0.2">
      <c r="A54" s="60" t="s">
        <v>416</v>
      </c>
      <c r="B54" t="s">
        <v>55</v>
      </c>
    </row>
    <row r="55" spans="1:4" x14ac:dyDescent="0.2">
      <c r="A55" s="60"/>
      <c r="B55" t="s">
        <v>281</v>
      </c>
      <c r="C55" t="s">
        <v>409</v>
      </c>
    </row>
    <row r="56" spans="1:4" x14ac:dyDescent="0.2">
      <c r="A56" s="60"/>
      <c r="B56" s="60" t="s">
        <v>34</v>
      </c>
      <c r="C56" t="s">
        <v>56</v>
      </c>
    </row>
    <row r="57" spans="1:4" x14ac:dyDescent="0.2">
      <c r="A57" s="60"/>
      <c r="C57" s="60" t="s">
        <v>425</v>
      </c>
      <c r="D57" t="s">
        <v>57</v>
      </c>
    </row>
    <row r="58" spans="1:4" x14ac:dyDescent="0.2">
      <c r="A58" s="60"/>
      <c r="C58" s="60"/>
    </row>
    <row r="59" spans="1:4" x14ac:dyDescent="0.2">
      <c r="A59" s="60" t="s">
        <v>417</v>
      </c>
      <c r="B59" t="s">
        <v>405</v>
      </c>
    </row>
    <row r="60" spans="1:4" x14ac:dyDescent="0.2">
      <c r="A60" s="60"/>
      <c r="B60" t="s">
        <v>281</v>
      </c>
      <c r="C60" t="s">
        <v>404</v>
      </c>
    </row>
    <row r="61" spans="1:4" x14ac:dyDescent="0.2">
      <c r="A61" s="60"/>
      <c r="B61" s="60" t="s">
        <v>34</v>
      </c>
      <c r="C61" t="s">
        <v>38</v>
      </c>
    </row>
    <row r="62" spans="1:4" x14ac:dyDescent="0.2">
      <c r="A62" s="60"/>
      <c r="C62" s="60" t="s">
        <v>426</v>
      </c>
      <c r="D62" t="s">
        <v>45</v>
      </c>
    </row>
    <row r="64" spans="1:4" x14ac:dyDescent="0.2">
      <c r="A64" s="60" t="s">
        <v>418</v>
      </c>
      <c r="B64" t="s">
        <v>46</v>
      </c>
    </row>
    <row r="65" spans="1:4" x14ac:dyDescent="0.2">
      <c r="A65" s="60"/>
      <c r="B65" t="s">
        <v>281</v>
      </c>
      <c r="C65" t="s">
        <v>406</v>
      </c>
    </row>
    <row r="66" spans="1:4" x14ac:dyDescent="0.2">
      <c r="A66" s="60"/>
      <c r="B66" s="60" t="s">
        <v>34</v>
      </c>
      <c r="C66" t="s">
        <v>47</v>
      </c>
    </row>
    <row r="67" spans="1:4" x14ac:dyDescent="0.2">
      <c r="A67" s="60"/>
      <c r="C67" s="60" t="s">
        <v>427</v>
      </c>
      <c r="D67" t="s">
        <v>48</v>
      </c>
    </row>
    <row r="69" spans="1:4" x14ac:dyDescent="0.2">
      <c r="A69" s="60" t="s">
        <v>419</v>
      </c>
      <c r="B69" t="s">
        <v>58</v>
      </c>
    </row>
    <row r="70" spans="1:4" x14ac:dyDescent="0.2">
      <c r="A70" s="60"/>
      <c r="B70" t="s">
        <v>281</v>
      </c>
      <c r="C70" t="s">
        <v>410</v>
      </c>
    </row>
    <row r="71" spans="1:4" x14ac:dyDescent="0.2">
      <c r="A71" s="60"/>
      <c r="B71" s="60" t="s">
        <v>34</v>
      </c>
      <c r="C71" t="s">
        <v>60</v>
      </c>
    </row>
    <row r="72" spans="1:4" x14ac:dyDescent="0.2">
      <c r="A72" s="60"/>
      <c r="C72" s="60" t="s">
        <v>428</v>
      </c>
      <c r="D72" t="s">
        <v>59</v>
      </c>
    </row>
  </sheetData>
  <sheetProtection algorithmName="SHA-512" hashValue="DJ50l/hLVwB7B4PpI254lTcIsK/a0LpsKIQX5uO99GDJ20h/qDo/FqDL8FmsoFycTPr7LQlNBIR/XH7yfjVlLA==" saltValue="C39rYm+0YSlUJX3NJ6wl5A==" spinCount="100000" sheet="1" objects="1" scenarios="1"/>
  <mergeCells count="73">
    <mergeCell ref="H1:I1"/>
    <mergeCell ref="AD1:AE1"/>
    <mergeCell ref="AB1:AC1"/>
    <mergeCell ref="Z1:AA1"/>
    <mergeCell ref="X1:Y1"/>
    <mergeCell ref="V1:W1"/>
    <mergeCell ref="T1:U1"/>
    <mergeCell ref="R1:S1"/>
    <mergeCell ref="P1:Q1"/>
    <mergeCell ref="N1:O1"/>
    <mergeCell ref="L1:M1"/>
    <mergeCell ref="J1:K1"/>
    <mergeCell ref="F1:G1"/>
    <mergeCell ref="D1:E1"/>
    <mergeCell ref="B1:C1"/>
    <mergeCell ref="B15:C15"/>
    <mergeCell ref="D15:E15"/>
    <mergeCell ref="F15:G15"/>
    <mergeCell ref="AD15:AE15"/>
    <mergeCell ref="H15:I15"/>
    <mergeCell ref="J15:K15"/>
    <mergeCell ref="L15:M15"/>
    <mergeCell ref="N15:O15"/>
    <mergeCell ref="R15:S15"/>
    <mergeCell ref="P15:Q15"/>
    <mergeCell ref="T15:U15"/>
    <mergeCell ref="V15:W15"/>
    <mergeCell ref="X15:Y15"/>
    <mergeCell ref="Z15:AA15"/>
    <mergeCell ref="AB15:AC15"/>
    <mergeCell ref="H19:I19"/>
    <mergeCell ref="J19:K19"/>
    <mergeCell ref="L19:M19"/>
    <mergeCell ref="B19:C19"/>
    <mergeCell ref="D19:E19"/>
    <mergeCell ref="F19:G19"/>
    <mergeCell ref="T19:U19"/>
    <mergeCell ref="V19:W19"/>
    <mergeCell ref="X19:Y19"/>
    <mergeCell ref="N19:O19"/>
    <mergeCell ref="P19:Q19"/>
    <mergeCell ref="R19:S19"/>
    <mergeCell ref="AB16:AC16"/>
    <mergeCell ref="Z19:AA19"/>
    <mergeCell ref="AB19:AC19"/>
    <mergeCell ref="AD19:AE19"/>
    <mergeCell ref="AD16:AE16"/>
    <mergeCell ref="AF16:AG16"/>
    <mergeCell ref="AH1:AH2"/>
    <mergeCell ref="AF1:AG1"/>
    <mergeCell ref="B16:C16"/>
    <mergeCell ref="D16:E16"/>
    <mergeCell ref="F16:G16"/>
    <mergeCell ref="H16:I16"/>
    <mergeCell ref="J16:K16"/>
    <mergeCell ref="L16:M16"/>
    <mergeCell ref="N16:O16"/>
    <mergeCell ref="P16:Q16"/>
    <mergeCell ref="R16:S16"/>
    <mergeCell ref="T16:U16"/>
    <mergeCell ref="V16:W16"/>
    <mergeCell ref="X16:Y16"/>
    <mergeCell ref="Z16:AA16"/>
    <mergeCell ref="AB20:AC20"/>
    <mergeCell ref="AD20:AE20"/>
    <mergeCell ref="Z20:AA20"/>
    <mergeCell ref="H20:I20"/>
    <mergeCell ref="J20:K20"/>
    <mergeCell ref="N20:O20"/>
    <mergeCell ref="P20:Q20"/>
    <mergeCell ref="R20:S20"/>
    <mergeCell ref="T20:U20"/>
    <mergeCell ref="X20:Y20"/>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60"/>
  <sheetViews>
    <sheetView workbookViewId="0">
      <pane xSplit="1" topLeftCell="B1" activePane="topRight" state="frozen"/>
      <selection pane="topRight" activeCell="B57" sqref="B57"/>
    </sheetView>
  </sheetViews>
  <sheetFormatPr baseColWidth="10" defaultColWidth="11.1640625" defaultRowHeight="16" x14ac:dyDescent="0.2"/>
  <cols>
    <col min="1" max="1" width="15.83203125" customWidth="1"/>
    <col min="2" max="2" width="11.6640625" bestFit="1" customWidth="1"/>
    <col min="16" max="16" width="12.33203125" customWidth="1"/>
    <col min="32" max="34" width="11.6640625" bestFit="1" customWidth="1"/>
  </cols>
  <sheetData>
    <row r="1" spans="1:39"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39"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39" x14ac:dyDescent="0.2">
      <c r="A3" s="3" t="s">
        <v>15</v>
      </c>
      <c r="B3" s="10"/>
      <c r="C3" s="11"/>
      <c r="D3" s="10"/>
      <c r="E3" s="11"/>
      <c r="F3" s="10"/>
      <c r="G3" s="11"/>
      <c r="H3" s="10"/>
      <c r="I3" s="11"/>
      <c r="J3" s="10"/>
      <c r="K3" s="11"/>
      <c r="L3" s="10"/>
      <c r="M3" s="11">
        <f>50160/2</f>
        <v>25080</v>
      </c>
      <c r="N3" s="10"/>
      <c r="O3" s="11">
        <f>2*50160*0.3</f>
        <v>30096</v>
      </c>
      <c r="P3" s="10"/>
      <c r="Q3" s="11"/>
      <c r="R3" s="10"/>
      <c r="S3" s="47">
        <f>50160/2</f>
        <v>25080</v>
      </c>
      <c r="T3" s="10"/>
      <c r="U3" s="11"/>
      <c r="V3" s="10"/>
      <c r="W3" s="11"/>
      <c r="X3" s="10"/>
      <c r="Y3" s="11"/>
      <c r="Z3" s="10"/>
      <c r="AA3" s="11"/>
      <c r="AB3" s="10"/>
      <c r="AC3" s="11"/>
      <c r="AD3" s="12"/>
      <c r="AE3" s="13"/>
      <c r="AF3" s="65">
        <f>B3+D3+F3+H3+J3+L3+N3+P3+R3+T3+V3+X3+Z3+AB3+AD3</f>
        <v>0</v>
      </c>
      <c r="AG3" s="69">
        <f>C3+E3+G3+I3+K3+M3+O3+Q3+S3+U3+W3+Y3+AA3+AC3+AE3</f>
        <v>80256</v>
      </c>
      <c r="AH3" s="64">
        <f>AF3+AG3</f>
        <v>80256</v>
      </c>
      <c r="AJ3" t="s">
        <v>114</v>
      </c>
      <c r="AM3" t="s">
        <v>93</v>
      </c>
    </row>
    <row r="4" spans="1:39" x14ac:dyDescent="0.2">
      <c r="A4" s="3" t="s">
        <v>16</v>
      </c>
      <c r="B4" s="10"/>
      <c r="C4" s="11"/>
      <c r="D4" s="10"/>
      <c r="E4" s="11"/>
      <c r="F4" s="10"/>
      <c r="G4" s="11"/>
      <c r="H4" s="10"/>
      <c r="I4" s="11"/>
      <c r="J4" s="10"/>
      <c r="K4" s="11"/>
      <c r="L4" s="10"/>
      <c r="M4" s="11"/>
      <c r="N4" s="10"/>
      <c r="O4" s="11"/>
      <c r="P4" s="10"/>
      <c r="Q4" s="11"/>
      <c r="R4" s="10"/>
      <c r="S4" s="11"/>
      <c r="T4" s="10"/>
      <c r="U4" s="11">
        <f>50160/12*1.5</f>
        <v>6270</v>
      </c>
      <c r="V4" s="10"/>
      <c r="W4" s="11"/>
      <c r="X4" s="10"/>
      <c r="Y4" s="11"/>
      <c r="Z4" s="10"/>
      <c r="AA4" s="11"/>
      <c r="AB4" s="10"/>
      <c r="AC4" s="11"/>
      <c r="AD4" s="12"/>
      <c r="AE4" s="13"/>
      <c r="AF4" s="65">
        <f t="shared" ref="AF4:AG14" si="0">B4+D4+F4+H4+J4+L4+N4+P4+R4+T4+V4+X4+Z4+AB4+AD4</f>
        <v>0</v>
      </c>
      <c r="AG4" s="69">
        <f t="shared" si="0"/>
        <v>6270</v>
      </c>
      <c r="AH4" s="64">
        <f t="shared" ref="AH4:AH14" si="1">AF4+AG4</f>
        <v>6270</v>
      </c>
      <c r="AJ4" t="s">
        <v>95</v>
      </c>
    </row>
    <row r="5" spans="1:39" x14ac:dyDescent="0.2">
      <c r="A5" s="3" t="s">
        <v>17</v>
      </c>
      <c r="B5" s="10"/>
      <c r="C5" s="11"/>
      <c r="D5" s="10"/>
      <c r="E5" s="11"/>
      <c r="F5" s="10"/>
      <c r="G5" s="11"/>
      <c r="H5" s="10"/>
      <c r="I5" s="11"/>
      <c r="J5" s="10"/>
      <c r="K5" s="11"/>
      <c r="L5" s="10"/>
      <c r="M5" s="11"/>
      <c r="N5" s="10"/>
      <c r="O5" s="11"/>
      <c r="P5" s="10"/>
      <c r="Q5" s="11"/>
      <c r="R5" s="10"/>
      <c r="S5" s="11"/>
      <c r="T5" s="10"/>
      <c r="U5" s="11"/>
      <c r="V5" s="10"/>
      <c r="W5" s="11"/>
      <c r="X5" s="10"/>
      <c r="Y5" s="11"/>
      <c r="Z5" s="10"/>
      <c r="AA5" s="11"/>
      <c r="AB5" s="10"/>
      <c r="AC5" s="11"/>
      <c r="AD5" s="12"/>
      <c r="AE5" s="13"/>
      <c r="AF5" s="65">
        <f t="shared" si="0"/>
        <v>0</v>
      </c>
      <c r="AG5" s="69">
        <f t="shared" si="0"/>
        <v>0</v>
      </c>
      <c r="AH5" s="64">
        <f t="shared" si="1"/>
        <v>0</v>
      </c>
    </row>
    <row r="6" spans="1:39" x14ac:dyDescent="0.2">
      <c r="A6" s="3" t="s">
        <v>18</v>
      </c>
      <c r="B6" s="10"/>
      <c r="C6" s="11"/>
      <c r="D6" s="10"/>
      <c r="E6" s="11"/>
      <c r="F6" s="10"/>
      <c r="G6" s="11"/>
      <c r="H6" s="10"/>
      <c r="I6" s="11"/>
      <c r="J6" s="10"/>
      <c r="K6" s="11"/>
      <c r="L6" s="10"/>
      <c r="M6" s="11"/>
      <c r="N6" s="10"/>
      <c r="O6" s="11"/>
      <c r="P6" s="10"/>
      <c r="Q6" s="11"/>
      <c r="R6" s="10"/>
      <c r="S6" s="11"/>
      <c r="T6" s="10"/>
      <c r="U6" s="11"/>
      <c r="V6" s="10"/>
      <c r="W6" s="11"/>
      <c r="X6" s="10"/>
      <c r="Y6" s="11"/>
      <c r="Z6" s="10"/>
      <c r="AA6" s="11"/>
      <c r="AB6" s="10"/>
      <c r="AC6" s="11"/>
      <c r="AD6" s="12"/>
      <c r="AE6" s="13"/>
      <c r="AF6" s="65">
        <f t="shared" si="0"/>
        <v>0</v>
      </c>
      <c r="AG6" s="69">
        <f t="shared" si="0"/>
        <v>0</v>
      </c>
      <c r="AH6" s="64">
        <f t="shared" si="1"/>
        <v>0</v>
      </c>
    </row>
    <row r="7" spans="1:39" x14ac:dyDescent="0.2">
      <c r="A7" s="3" t="s">
        <v>19</v>
      </c>
      <c r="B7" s="10"/>
      <c r="C7" s="11"/>
      <c r="D7" s="10"/>
      <c r="E7" s="11"/>
      <c r="F7" s="10"/>
      <c r="G7" s="11"/>
      <c r="H7" s="10"/>
      <c r="I7" s="11"/>
      <c r="J7" s="10"/>
      <c r="K7" s="11"/>
      <c r="L7" s="10"/>
      <c r="M7" s="11"/>
      <c r="N7" s="10"/>
      <c r="O7" s="11"/>
      <c r="P7" s="10"/>
      <c r="Q7" s="11"/>
      <c r="R7" s="10"/>
      <c r="S7" s="11"/>
      <c r="T7" s="10"/>
      <c r="U7" s="11"/>
      <c r="V7" s="10"/>
      <c r="W7" s="11"/>
      <c r="X7" s="10"/>
      <c r="Y7" s="11"/>
      <c r="Z7" s="10"/>
      <c r="AA7" s="11"/>
      <c r="AB7" s="10"/>
      <c r="AC7" s="11"/>
      <c r="AD7" s="12"/>
      <c r="AE7" s="13"/>
      <c r="AF7" s="65">
        <f t="shared" si="0"/>
        <v>0</v>
      </c>
      <c r="AG7" s="69">
        <f t="shared" si="0"/>
        <v>0</v>
      </c>
      <c r="AH7" s="64">
        <f t="shared" si="1"/>
        <v>0</v>
      </c>
    </row>
    <row r="8" spans="1:39" x14ac:dyDescent="0.2">
      <c r="A8" s="3" t="s">
        <v>20</v>
      </c>
      <c r="B8" s="10"/>
      <c r="C8" s="11"/>
      <c r="D8" s="10"/>
      <c r="E8" s="11"/>
      <c r="F8" s="10"/>
      <c r="G8" s="11"/>
      <c r="H8" s="10"/>
      <c r="I8" s="11"/>
      <c r="J8" s="10"/>
      <c r="K8" s="11"/>
      <c r="L8" s="10"/>
      <c r="M8" s="11"/>
      <c r="N8" s="10"/>
      <c r="O8" s="11"/>
      <c r="P8" s="10"/>
      <c r="Q8" s="11"/>
      <c r="R8" s="10"/>
      <c r="S8" s="11"/>
      <c r="T8" s="10"/>
      <c r="U8" s="11"/>
      <c r="V8" s="10"/>
      <c r="W8" s="11"/>
      <c r="X8" s="10"/>
      <c r="Y8" s="11"/>
      <c r="Z8" s="10"/>
      <c r="AA8" s="11"/>
      <c r="AB8" s="10"/>
      <c r="AC8" s="11"/>
      <c r="AD8" s="12"/>
      <c r="AE8" s="13"/>
      <c r="AF8" s="65">
        <f t="shared" si="0"/>
        <v>0</v>
      </c>
      <c r="AG8" s="69">
        <f t="shared" si="0"/>
        <v>0</v>
      </c>
      <c r="AH8" s="64">
        <f t="shared" si="1"/>
        <v>0</v>
      </c>
    </row>
    <row r="9" spans="1:39" x14ac:dyDescent="0.2">
      <c r="A9" s="3" t="s">
        <v>21</v>
      </c>
      <c r="B9" s="10"/>
      <c r="C9" s="11"/>
      <c r="D9" s="10"/>
      <c r="E9" s="11"/>
      <c r="F9" s="10"/>
      <c r="G9" s="11"/>
      <c r="H9" s="10"/>
      <c r="I9" s="11"/>
      <c r="J9" s="10"/>
      <c r="K9" s="11"/>
      <c r="L9" s="10"/>
      <c r="M9" s="11"/>
      <c r="N9" s="10"/>
      <c r="O9" s="11"/>
      <c r="P9" s="10"/>
      <c r="Q9" s="11"/>
      <c r="R9" s="10"/>
      <c r="S9" s="11"/>
      <c r="T9" s="10"/>
      <c r="U9" s="11"/>
      <c r="V9" s="10"/>
      <c r="W9" s="11"/>
      <c r="X9" s="10"/>
      <c r="Y9" s="11"/>
      <c r="Z9" s="10"/>
      <c r="AA9" s="11"/>
      <c r="AB9" s="10"/>
      <c r="AC9" s="11"/>
      <c r="AD9" s="12"/>
      <c r="AE9" s="13"/>
      <c r="AF9" s="65">
        <f t="shared" si="0"/>
        <v>0</v>
      </c>
      <c r="AG9" s="69">
        <f t="shared" si="0"/>
        <v>0</v>
      </c>
      <c r="AH9" s="64">
        <f t="shared" si="1"/>
        <v>0</v>
      </c>
    </row>
    <row r="10" spans="1:39" x14ac:dyDescent="0.2">
      <c r="A10" s="3" t="s">
        <v>22</v>
      </c>
      <c r="B10" s="10"/>
      <c r="C10" s="11"/>
      <c r="D10" s="10"/>
      <c r="E10" s="11"/>
      <c r="F10" s="10"/>
      <c r="G10" s="11"/>
      <c r="H10" s="10"/>
      <c r="I10" s="11"/>
      <c r="J10" s="10"/>
      <c r="K10" s="11"/>
      <c r="L10" s="10"/>
      <c r="M10" s="11"/>
      <c r="N10" s="10"/>
      <c r="O10" s="11"/>
      <c r="P10" s="10"/>
      <c r="Q10" s="11"/>
      <c r="R10" s="10"/>
      <c r="S10" s="11"/>
      <c r="T10" s="10"/>
      <c r="U10" s="11"/>
      <c r="V10" s="10"/>
      <c r="W10" s="11"/>
      <c r="X10" s="10"/>
      <c r="Y10" s="11"/>
      <c r="Z10" s="10"/>
      <c r="AA10" s="11"/>
      <c r="AB10" s="10"/>
      <c r="AC10" s="11"/>
      <c r="AD10" s="12"/>
      <c r="AE10" s="13"/>
      <c r="AF10" s="65">
        <f t="shared" si="0"/>
        <v>0</v>
      </c>
      <c r="AG10" s="69">
        <f t="shared" si="0"/>
        <v>0</v>
      </c>
      <c r="AH10" s="64">
        <f t="shared" si="1"/>
        <v>0</v>
      </c>
    </row>
    <row r="11" spans="1:39" x14ac:dyDescent="0.2">
      <c r="A11" s="3" t="s">
        <v>23</v>
      </c>
      <c r="B11" s="10"/>
      <c r="C11" s="11"/>
      <c r="D11" s="10"/>
      <c r="E11" s="11"/>
      <c r="F11" s="10"/>
      <c r="G11" s="11"/>
      <c r="H11" s="10"/>
      <c r="I11" s="11">
        <f>51084/12*3</f>
        <v>12771</v>
      </c>
      <c r="J11" s="10"/>
      <c r="K11" s="11"/>
      <c r="L11" s="10"/>
      <c r="M11" s="11"/>
      <c r="N11" s="10"/>
      <c r="O11" s="11"/>
      <c r="P11" s="10"/>
      <c r="Q11" s="11"/>
      <c r="R11" s="10"/>
      <c r="S11" s="11"/>
      <c r="T11" s="10"/>
      <c r="U11" s="11"/>
      <c r="V11" s="10"/>
      <c r="W11" s="11"/>
      <c r="X11" s="10"/>
      <c r="Y11" s="11"/>
      <c r="Z11" s="10"/>
      <c r="AA11" s="11"/>
      <c r="AB11" s="10"/>
      <c r="AC11" s="11"/>
      <c r="AD11" s="12"/>
      <c r="AE11" s="13"/>
      <c r="AF11" s="65">
        <f t="shared" si="0"/>
        <v>0</v>
      </c>
      <c r="AG11" s="69">
        <f t="shared" si="0"/>
        <v>12771</v>
      </c>
      <c r="AH11" s="64">
        <f t="shared" si="1"/>
        <v>12771</v>
      </c>
      <c r="AJ11" t="s">
        <v>203</v>
      </c>
    </row>
    <row r="12" spans="1:39" x14ac:dyDescent="0.2">
      <c r="A12" s="3" t="s">
        <v>24</v>
      </c>
      <c r="B12" s="10"/>
      <c r="C12" s="11"/>
      <c r="D12" s="10"/>
      <c r="E12" s="11"/>
      <c r="F12" s="10"/>
      <c r="G12" s="11"/>
      <c r="H12" s="10"/>
      <c r="I12" s="11"/>
      <c r="J12" s="10"/>
      <c r="K12" s="11"/>
      <c r="L12" s="10"/>
      <c r="M12" s="11"/>
      <c r="N12" s="10"/>
      <c r="O12" s="11"/>
      <c r="P12" s="10"/>
      <c r="Q12" s="11"/>
      <c r="R12" s="10"/>
      <c r="S12" s="11"/>
      <c r="T12" s="10"/>
      <c r="U12" s="11"/>
      <c r="V12" s="10"/>
      <c r="W12" s="11"/>
      <c r="X12" s="10"/>
      <c r="Y12" s="11"/>
      <c r="Z12" s="10"/>
      <c r="AA12" s="11"/>
      <c r="AB12" s="10"/>
      <c r="AC12" s="11"/>
      <c r="AD12" s="12"/>
      <c r="AE12" s="13"/>
      <c r="AF12" s="65">
        <f t="shared" si="0"/>
        <v>0</v>
      </c>
      <c r="AG12" s="69">
        <f t="shared" si="0"/>
        <v>0</v>
      </c>
      <c r="AH12" s="64">
        <f t="shared" si="1"/>
        <v>0</v>
      </c>
    </row>
    <row r="13" spans="1:39" ht="17" thickBot="1" x14ac:dyDescent="0.25">
      <c r="A13" s="4" t="s">
        <v>25</v>
      </c>
      <c r="B13" s="14"/>
      <c r="C13" s="15"/>
      <c r="D13" s="14"/>
      <c r="E13" s="15"/>
      <c r="F13" s="14"/>
      <c r="G13" s="15"/>
      <c r="H13" s="14"/>
      <c r="I13" s="15"/>
      <c r="J13" s="14">
        <f>110000*1.22/2</f>
        <v>67100</v>
      </c>
      <c r="K13" s="15"/>
      <c r="L13" s="14"/>
      <c r="M13" s="15"/>
      <c r="N13" s="14"/>
      <c r="O13" s="15"/>
      <c r="P13" s="14">
        <f>110000*1.22/2</f>
        <v>67100</v>
      </c>
      <c r="Q13" s="15"/>
      <c r="R13" s="14"/>
      <c r="S13" s="15"/>
      <c r="T13" s="14"/>
      <c r="U13" s="15"/>
      <c r="V13" s="14"/>
      <c r="W13" s="15"/>
      <c r="X13" s="14"/>
      <c r="Y13" s="15"/>
      <c r="Z13" s="14"/>
      <c r="AA13" s="15"/>
      <c r="AB13" s="14"/>
      <c r="AC13" s="15"/>
      <c r="AD13" s="16"/>
      <c r="AE13" s="17"/>
      <c r="AF13" s="66">
        <f t="shared" si="0"/>
        <v>134200</v>
      </c>
      <c r="AG13" s="70">
        <f t="shared" si="0"/>
        <v>0</v>
      </c>
      <c r="AH13" s="70">
        <f t="shared" si="1"/>
        <v>134200</v>
      </c>
    </row>
    <row r="14" spans="1:39" ht="17" thickBot="1" x14ac:dyDescent="0.25">
      <c r="A14" s="5" t="s">
        <v>26</v>
      </c>
      <c r="B14" s="18">
        <f>SUM(B3:B13)</f>
        <v>0</v>
      </c>
      <c r="C14" s="19">
        <f t="shared" ref="C14:AE14" si="2">SUM(C3:C13)</f>
        <v>0</v>
      </c>
      <c r="D14" s="18">
        <f t="shared" si="2"/>
        <v>0</v>
      </c>
      <c r="E14" s="19">
        <f t="shared" si="2"/>
        <v>0</v>
      </c>
      <c r="F14" s="18">
        <f>SUM(F3:F13)</f>
        <v>0</v>
      </c>
      <c r="G14" s="19">
        <f>SUM(G3:G13)</f>
        <v>0</v>
      </c>
      <c r="H14" s="18">
        <f t="shared" si="2"/>
        <v>0</v>
      </c>
      <c r="I14" s="19">
        <f t="shared" si="2"/>
        <v>12771</v>
      </c>
      <c r="J14" s="18">
        <f t="shared" si="2"/>
        <v>67100</v>
      </c>
      <c r="K14" s="19">
        <f t="shared" si="2"/>
        <v>0</v>
      </c>
      <c r="L14" s="18">
        <f t="shared" si="2"/>
        <v>0</v>
      </c>
      <c r="M14" s="19">
        <f t="shared" si="2"/>
        <v>25080</v>
      </c>
      <c r="N14" s="18">
        <f t="shared" si="2"/>
        <v>0</v>
      </c>
      <c r="O14" s="19">
        <f t="shared" si="2"/>
        <v>30096</v>
      </c>
      <c r="P14" s="18">
        <f t="shared" si="2"/>
        <v>67100</v>
      </c>
      <c r="Q14" s="19">
        <f t="shared" si="2"/>
        <v>0</v>
      </c>
      <c r="R14" s="18">
        <f t="shared" si="2"/>
        <v>0</v>
      </c>
      <c r="S14" s="19">
        <f t="shared" si="2"/>
        <v>25080</v>
      </c>
      <c r="T14" s="18">
        <f t="shared" si="2"/>
        <v>0</v>
      </c>
      <c r="U14" s="19">
        <f t="shared" si="2"/>
        <v>6270</v>
      </c>
      <c r="V14" s="18">
        <f t="shared" si="2"/>
        <v>0</v>
      </c>
      <c r="W14" s="19">
        <f t="shared" si="2"/>
        <v>0</v>
      </c>
      <c r="X14" s="18">
        <f t="shared" si="2"/>
        <v>0</v>
      </c>
      <c r="Y14" s="19">
        <f t="shared" si="2"/>
        <v>0</v>
      </c>
      <c r="Z14" s="18">
        <f t="shared" si="2"/>
        <v>0</v>
      </c>
      <c r="AA14" s="19">
        <f t="shared" si="2"/>
        <v>0</v>
      </c>
      <c r="AB14" s="18">
        <f t="shared" si="2"/>
        <v>0</v>
      </c>
      <c r="AC14" s="19">
        <f t="shared" si="2"/>
        <v>0</v>
      </c>
      <c r="AD14" s="20">
        <f t="shared" si="2"/>
        <v>0</v>
      </c>
      <c r="AE14" s="21">
        <f t="shared" si="2"/>
        <v>0</v>
      </c>
      <c r="AF14" s="67">
        <f t="shared" si="0"/>
        <v>134200</v>
      </c>
      <c r="AG14" s="71">
        <f t="shared" si="0"/>
        <v>99297</v>
      </c>
      <c r="AH14" s="71">
        <f t="shared" si="1"/>
        <v>233497</v>
      </c>
    </row>
    <row r="15" spans="1:39" ht="17" thickBot="1" x14ac:dyDescent="0.25">
      <c r="A15" s="6" t="s">
        <v>29</v>
      </c>
      <c r="B15" s="43">
        <f>B14+C14</f>
        <v>0</v>
      </c>
      <c r="C15" s="44"/>
      <c r="D15" s="43">
        <f>D14+E14</f>
        <v>0</v>
      </c>
      <c r="E15" s="44"/>
      <c r="F15" s="43">
        <f>F14+G14</f>
        <v>0</v>
      </c>
      <c r="G15" s="44"/>
      <c r="H15" s="43">
        <f>H14+I14</f>
        <v>12771</v>
      </c>
      <c r="I15" s="44"/>
      <c r="J15" s="43">
        <f>J14+K14</f>
        <v>67100</v>
      </c>
      <c r="K15" s="44"/>
      <c r="L15" s="43">
        <f>L14+M14</f>
        <v>25080</v>
      </c>
      <c r="M15" s="44"/>
      <c r="N15" s="43">
        <f>N14+O14</f>
        <v>30096</v>
      </c>
      <c r="O15" s="44"/>
      <c r="P15" s="43">
        <f>P14+Q14</f>
        <v>67100</v>
      </c>
      <c r="Q15" s="44"/>
      <c r="R15" s="43">
        <f>R14+S14</f>
        <v>25080</v>
      </c>
      <c r="S15" s="44"/>
      <c r="T15" s="43">
        <f>T14+U14</f>
        <v>6270</v>
      </c>
      <c r="U15" s="44"/>
      <c r="V15" s="43">
        <f>V14+W14</f>
        <v>0</v>
      </c>
      <c r="W15" s="44"/>
      <c r="X15" s="43">
        <f>X14+Y14</f>
        <v>0</v>
      </c>
      <c r="Y15" s="44"/>
      <c r="Z15" s="43">
        <f>Z14+AA14</f>
        <v>0</v>
      </c>
      <c r="AA15" s="44"/>
      <c r="AB15" s="43">
        <f>AB14+AC14</f>
        <v>0</v>
      </c>
      <c r="AC15" s="44"/>
      <c r="AD15" s="45">
        <f>AD14+AE14</f>
        <v>0</v>
      </c>
      <c r="AE15" s="46"/>
      <c r="AF15" s="68"/>
      <c r="AG15" s="46"/>
      <c r="AH15" s="72">
        <f t="shared" ref="AH15" si="3">SUM(B15:AE15)</f>
        <v>233497</v>
      </c>
    </row>
    <row r="16" spans="1:39" ht="17" thickBot="1" x14ac:dyDescent="0.25">
      <c r="A16" s="6" t="s">
        <v>254</v>
      </c>
      <c r="B16" s="123">
        <f>1.07*B15</f>
        <v>0</v>
      </c>
      <c r="C16" s="124"/>
      <c r="D16" s="123">
        <f t="shared" ref="D16" si="4">1.07*D15</f>
        <v>0</v>
      </c>
      <c r="E16" s="124"/>
      <c r="F16" s="123">
        <f t="shared" ref="F16" si="5">1.07*F15</f>
        <v>0</v>
      </c>
      <c r="G16" s="124"/>
      <c r="H16" s="123">
        <f t="shared" ref="H16" si="6">1.07*H15</f>
        <v>13664.970000000001</v>
      </c>
      <c r="I16" s="124"/>
      <c r="J16" s="123">
        <f t="shared" ref="J16" si="7">1.07*J15</f>
        <v>71797</v>
      </c>
      <c r="K16" s="124"/>
      <c r="L16" s="123">
        <f t="shared" ref="L16" si="8">1.07*L15</f>
        <v>26835.600000000002</v>
      </c>
      <c r="M16" s="124"/>
      <c r="N16" s="123">
        <f t="shared" ref="N16" si="9">1.07*N15</f>
        <v>32202.720000000001</v>
      </c>
      <c r="O16" s="124"/>
      <c r="P16" s="123">
        <f t="shared" ref="P16" si="10">1.07*P15</f>
        <v>71797</v>
      </c>
      <c r="Q16" s="124"/>
      <c r="R16" s="123">
        <f t="shared" ref="R16" si="11">1.07*R15</f>
        <v>26835.600000000002</v>
      </c>
      <c r="S16" s="124"/>
      <c r="T16" s="123">
        <f t="shared" ref="T16" si="12">1.07*T15</f>
        <v>6708.9000000000005</v>
      </c>
      <c r="U16" s="124"/>
      <c r="V16" s="123">
        <f t="shared" ref="V16" si="13">1.07*V15</f>
        <v>0</v>
      </c>
      <c r="W16" s="124"/>
      <c r="X16" s="123">
        <f t="shared" ref="X16" si="14">1.07*X15</f>
        <v>0</v>
      </c>
      <c r="Y16" s="124"/>
      <c r="Z16" s="123">
        <f t="shared" ref="Z16" si="15">1.07*Z15</f>
        <v>0</v>
      </c>
      <c r="AA16" s="124"/>
      <c r="AB16" s="123">
        <f t="shared" ref="AB16" si="16">1.07*AB15</f>
        <v>0</v>
      </c>
      <c r="AC16" s="124"/>
      <c r="AD16" s="123">
        <f t="shared" ref="AD16" si="17">1.07*AD15</f>
        <v>0</v>
      </c>
      <c r="AE16" s="118"/>
      <c r="AF16" s="117">
        <f t="shared" ref="AF16" si="18">1.07*AF15</f>
        <v>0</v>
      </c>
      <c r="AG16" s="118"/>
      <c r="AH16" s="72">
        <f t="shared" ref="AH16" si="19">1.07*AH15</f>
        <v>249841.79</v>
      </c>
    </row>
    <row r="18" spans="1:31" ht="17" thickBot="1" x14ac:dyDescent="0.25"/>
    <row r="19" spans="1:31" x14ac:dyDescent="0.2">
      <c r="A19" s="51" t="s">
        <v>33</v>
      </c>
      <c r="B19" s="125"/>
      <c r="C19" s="126"/>
      <c r="D19" s="125"/>
      <c r="E19" s="126"/>
      <c r="F19" s="125"/>
      <c r="G19" s="126"/>
      <c r="H19" s="125" t="s">
        <v>73</v>
      </c>
      <c r="I19" s="126"/>
      <c r="J19" s="125" t="s">
        <v>74</v>
      </c>
      <c r="K19" s="126"/>
      <c r="L19" s="125" t="s">
        <v>79</v>
      </c>
      <c r="M19" s="126"/>
      <c r="N19" s="125" t="s">
        <v>82</v>
      </c>
      <c r="O19" s="126"/>
      <c r="P19" s="125" t="s">
        <v>85</v>
      </c>
      <c r="Q19" s="126"/>
      <c r="R19" s="125" t="s">
        <v>87</v>
      </c>
      <c r="S19" s="126"/>
      <c r="T19" s="125" t="s">
        <v>459</v>
      </c>
      <c r="U19" s="126"/>
      <c r="V19" s="125"/>
      <c r="W19" s="126"/>
      <c r="X19" s="125"/>
      <c r="Y19" s="126"/>
      <c r="Z19" s="125"/>
      <c r="AA19" s="126"/>
      <c r="AB19" s="125"/>
      <c r="AC19" s="126"/>
      <c r="AD19" s="125"/>
      <c r="AE19" s="127"/>
    </row>
    <row r="20" spans="1:31" ht="17" thickBot="1" x14ac:dyDescent="0.25">
      <c r="A20" s="52" t="s">
        <v>35</v>
      </c>
      <c r="B20" s="104"/>
      <c r="C20" s="105"/>
      <c r="D20" s="106"/>
      <c r="E20" s="107"/>
      <c r="F20" s="104"/>
      <c r="G20" s="107"/>
      <c r="H20" s="104" t="s">
        <v>437</v>
      </c>
      <c r="I20" s="107"/>
      <c r="J20" s="104" t="s">
        <v>513</v>
      </c>
      <c r="K20" s="107"/>
      <c r="L20" s="104" t="s">
        <v>438</v>
      </c>
      <c r="M20" s="107"/>
      <c r="N20" s="104" t="s">
        <v>439</v>
      </c>
      <c r="O20" s="107"/>
      <c r="P20" s="104" t="s">
        <v>440</v>
      </c>
      <c r="Q20" s="107"/>
      <c r="R20" s="104" t="s">
        <v>514</v>
      </c>
      <c r="S20" s="107" t="s">
        <v>515</v>
      </c>
      <c r="T20" s="104" t="s">
        <v>516</v>
      </c>
      <c r="U20" s="107" t="s">
        <v>517</v>
      </c>
      <c r="V20" s="104"/>
      <c r="W20" s="105"/>
      <c r="X20" s="106"/>
      <c r="Y20" s="105"/>
      <c r="Z20" s="106"/>
      <c r="AA20" s="107"/>
      <c r="AB20" s="104"/>
      <c r="AC20" s="107"/>
      <c r="AD20" s="104"/>
      <c r="AE20" s="108"/>
    </row>
    <row r="24" spans="1:31" x14ac:dyDescent="0.2">
      <c r="A24" s="60" t="s">
        <v>73</v>
      </c>
      <c r="B24" t="s">
        <v>80</v>
      </c>
    </row>
    <row r="25" spans="1:31" x14ac:dyDescent="0.2">
      <c r="A25" s="60"/>
      <c r="B25" t="s">
        <v>281</v>
      </c>
      <c r="C25" t="s">
        <v>388</v>
      </c>
    </row>
    <row r="26" spans="1:31" x14ac:dyDescent="0.2">
      <c r="B26" s="60" t="s">
        <v>34</v>
      </c>
      <c r="C26" t="s">
        <v>81</v>
      </c>
    </row>
    <row r="27" spans="1:31" x14ac:dyDescent="0.2">
      <c r="C27" s="60" t="s">
        <v>437</v>
      </c>
      <c r="D27" t="s">
        <v>389</v>
      </c>
    </row>
    <row r="28" spans="1:31" x14ac:dyDescent="0.2">
      <c r="C28" s="60"/>
    </row>
    <row r="29" spans="1:31" x14ac:dyDescent="0.2">
      <c r="A29" s="60" t="s">
        <v>74</v>
      </c>
      <c r="B29" t="s">
        <v>460</v>
      </c>
    </row>
    <row r="30" spans="1:31" x14ac:dyDescent="0.2">
      <c r="B30" t="s">
        <v>281</v>
      </c>
      <c r="C30" t="s">
        <v>461</v>
      </c>
    </row>
    <row r="31" spans="1:31" x14ac:dyDescent="0.2">
      <c r="B31" s="60" t="s">
        <v>34</v>
      </c>
      <c r="C31" t="s">
        <v>462</v>
      </c>
    </row>
    <row r="32" spans="1:31" x14ac:dyDescent="0.2">
      <c r="C32" s="60" t="s">
        <v>513</v>
      </c>
      <c r="D32" t="s">
        <v>463</v>
      </c>
    </row>
    <row r="33" spans="1:4" x14ac:dyDescent="0.2">
      <c r="C33" s="60"/>
    </row>
    <row r="34" spans="1:4" x14ac:dyDescent="0.2">
      <c r="A34" s="60" t="s">
        <v>79</v>
      </c>
      <c r="B34" t="s">
        <v>385</v>
      </c>
    </row>
    <row r="35" spans="1:4" x14ac:dyDescent="0.2">
      <c r="A35" s="60"/>
      <c r="B35" t="s">
        <v>281</v>
      </c>
      <c r="C35" t="s">
        <v>384</v>
      </c>
    </row>
    <row r="36" spans="1:4" x14ac:dyDescent="0.2">
      <c r="B36" s="60" t="s">
        <v>34</v>
      </c>
      <c r="C36" t="s">
        <v>386</v>
      </c>
    </row>
    <row r="37" spans="1:4" x14ac:dyDescent="0.2">
      <c r="C37" s="60" t="s">
        <v>438</v>
      </c>
      <c r="D37" t="s">
        <v>387</v>
      </c>
    </row>
    <row r="39" spans="1:4" x14ac:dyDescent="0.2">
      <c r="A39" s="60" t="s">
        <v>82</v>
      </c>
      <c r="B39" t="s">
        <v>393</v>
      </c>
    </row>
    <row r="40" spans="1:4" x14ac:dyDescent="0.2">
      <c r="A40" s="60"/>
      <c r="B40" t="s">
        <v>281</v>
      </c>
      <c r="C40" t="s">
        <v>394</v>
      </c>
    </row>
    <row r="41" spans="1:4" x14ac:dyDescent="0.2">
      <c r="B41" s="60" t="s">
        <v>34</v>
      </c>
      <c r="C41" t="s">
        <v>441</v>
      </c>
    </row>
    <row r="42" spans="1:4" x14ac:dyDescent="0.2">
      <c r="C42" s="60" t="s">
        <v>439</v>
      </c>
      <c r="D42" t="s">
        <v>86</v>
      </c>
    </row>
    <row r="43" spans="1:4" x14ac:dyDescent="0.2">
      <c r="C43" s="60"/>
    </row>
    <row r="44" spans="1:4" x14ac:dyDescent="0.2">
      <c r="A44" s="60" t="s">
        <v>85</v>
      </c>
      <c r="B44" t="s">
        <v>83</v>
      </c>
    </row>
    <row r="45" spans="1:4" x14ac:dyDescent="0.2">
      <c r="A45" s="60"/>
      <c r="B45" t="s">
        <v>281</v>
      </c>
      <c r="C45" t="s">
        <v>391</v>
      </c>
    </row>
    <row r="46" spans="1:4" x14ac:dyDescent="0.2">
      <c r="B46" s="60" t="s">
        <v>34</v>
      </c>
      <c r="C46" t="s">
        <v>84</v>
      </c>
    </row>
    <row r="47" spans="1:4" x14ac:dyDescent="0.2">
      <c r="A47" s="73"/>
      <c r="B47" s="60" t="s">
        <v>34</v>
      </c>
      <c r="C47" s="73" t="s">
        <v>392</v>
      </c>
    </row>
    <row r="48" spans="1:4" x14ac:dyDescent="0.2">
      <c r="C48" s="60" t="s">
        <v>440</v>
      </c>
      <c r="D48" t="s">
        <v>390</v>
      </c>
    </row>
    <row r="50" spans="1:4" x14ac:dyDescent="0.2">
      <c r="A50" s="60" t="s">
        <v>87</v>
      </c>
      <c r="B50" t="s">
        <v>75</v>
      </c>
    </row>
    <row r="51" spans="1:4" x14ac:dyDescent="0.2">
      <c r="A51" s="60"/>
      <c r="B51" t="s">
        <v>281</v>
      </c>
      <c r="C51" t="s">
        <v>383</v>
      </c>
    </row>
    <row r="52" spans="1:4" x14ac:dyDescent="0.2">
      <c r="B52" s="60" t="s">
        <v>34</v>
      </c>
      <c r="C52" t="s">
        <v>76</v>
      </c>
    </row>
    <row r="53" spans="1:4" x14ac:dyDescent="0.2">
      <c r="C53" s="60" t="s">
        <v>514</v>
      </c>
      <c r="D53" t="s">
        <v>77</v>
      </c>
    </row>
    <row r="54" spans="1:4" x14ac:dyDescent="0.2">
      <c r="C54" s="60" t="s">
        <v>515</v>
      </c>
      <c r="D54" t="s">
        <v>78</v>
      </c>
    </row>
    <row r="56" spans="1:4" x14ac:dyDescent="0.2">
      <c r="A56" s="60" t="s">
        <v>459</v>
      </c>
      <c r="B56" t="s">
        <v>88</v>
      </c>
    </row>
    <row r="57" spans="1:4" x14ac:dyDescent="0.2">
      <c r="A57" s="60"/>
      <c r="B57" t="s">
        <v>281</v>
      </c>
      <c r="C57" t="s">
        <v>395</v>
      </c>
    </row>
    <row r="58" spans="1:4" x14ac:dyDescent="0.2">
      <c r="B58" s="60" t="s">
        <v>34</v>
      </c>
      <c r="C58" t="s">
        <v>89</v>
      </c>
    </row>
    <row r="59" spans="1:4" x14ac:dyDescent="0.2">
      <c r="C59" s="60" t="s">
        <v>516</v>
      </c>
      <c r="D59" t="s">
        <v>90</v>
      </c>
    </row>
    <row r="60" spans="1:4" x14ac:dyDescent="0.2">
      <c r="C60" s="60" t="s">
        <v>517</v>
      </c>
      <c r="D60" t="s">
        <v>91</v>
      </c>
    </row>
  </sheetData>
  <sheetProtection algorithmName="SHA-512" hashValue="G24Zl93lpPiyG5zVN3pBzv0XhOud5dHAw4LIundREzMAK/5nB8SXMsHtcPRVGEh244fK6euy12h0H/r7WYwKJw==" saltValue="+7KFFFZ53f8SscPOkd0VNw==" spinCount="100000" sheet="1" objects="1" scenarios="1"/>
  <mergeCells count="48">
    <mergeCell ref="L1:M1"/>
    <mergeCell ref="B1:C1"/>
    <mergeCell ref="D1:E1"/>
    <mergeCell ref="F1:G1"/>
    <mergeCell ref="H1:I1"/>
    <mergeCell ref="J1:K1"/>
    <mergeCell ref="Z1:AA1"/>
    <mergeCell ref="AB1:AC1"/>
    <mergeCell ref="AD1:AE1"/>
    <mergeCell ref="N1:O1"/>
    <mergeCell ref="P1:Q1"/>
    <mergeCell ref="R1:S1"/>
    <mergeCell ref="T1:U1"/>
    <mergeCell ref="V1:W1"/>
    <mergeCell ref="X1:Y1"/>
    <mergeCell ref="B19:C19"/>
    <mergeCell ref="D19:E19"/>
    <mergeCell ref="F19:G19"/>
    <mergeCell ref="H19:I19"/>
    <mergeCell ref="J19:K19"/>
    <mergeCell ref="AD19:AE19"/>
    <mergeCell ref="L19:M19"/>
    <mergeCell ref="N19:O19"/>
    <mergeCell ref="P19:Q19"/>
    <mergeCell ref="R19:S19"/>
    <mergeCell ref="T19:U19"/>
    <mergeCell ref="Z16:AA16"/>
    <mergeCell ref="AB16:AC16"/>
    <mergeCell ref="V19:W19"/>
    <mergeCell ref="X19:Y19"/>
    <mergeCell ref="Z19:AA19"/>
    <mergeCell ref="AB19:AC19"/>
    <mergeCell ref="AD16:AE16"/>
    <mergeCell ref="AF16:AG16"/>
    <mergeCell ref="AF1:AG1"/>
    <mergeCell ref="AH1:AH2"/>
    <mergeCell ref="B16:C16"/>
    <mergeCell ref="D16:E16"/>
    <mergeCell ref="F16:G16"/>
    <mergeCell ref="H16:I16"/>
    <mergeCell ref="J16:K16"/>
    <mergeCell ref="L16:M16"/>
    <mergeCell ref="N16:O16"/>
    <mergeCell ref="P16:Q16"/>
    <mergeCell ref="R16:S16"/>
    <mergeCell ref="T16:U16"/>
    <mergeCell ref="V16:W16"/>
    <mergeCell ref="X16:Y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64"/>
  <sheetViews>
    <sheetView zoomScaleNormal="100" workbookViewId="0">
      <pane xSplit="1" topLeftCell="B1" activePane="topRight" state="frozen"/>
      <selection pane="topRight" activeCell="D64" sqref="D64"/>
    </sheetView>
  </sheetViews>
  <sheetFormatPr baseColWidth="10" defaultColWidth="11.1640625" defaultRowHeight="16" x14ac:dyDescent="0.2"/>
  <cols>
    <col min="1" max="1" width="15.83203125" customWidth="1"/>
    <col min="2" max="2" width="13.33203125" bestFit="1" customWidth="1"/>
    <col min="3" max="3" width="11.6640625" bestFit="1" customWidth="1"/>
    <col min="7" max="7" width="11.6640625" bestFit="1" customWidth="1"/>
    <col min="10" max="10" width="12.5" customWidth="1"/>
    <col min="12" max="13" width="11.6640625" bestFit="1" customWidth="1"/>
    <col min="15" max="15" width="11.6640625" bestFit="1" customWidth="1"/>
    <col min="16" max="16" width="13.33203125" bestFit="1" customWidth="1"/>
    <col min="18" max="18" width="13.33203125" bestFit="1" customWidth="1"/>
    <col min="19" max="19" width="11.1640625" customWidth="1"/>
    <col min="20" max="20" width="11.6640625" bestFit="1" customWidth="1"/>
    <col min="21" max="21" width="11.83203125" customWidth="1"/>
    <col min="32" max="32" width="13.33203125" bestFit="1" customWidth="1"/>
    <col min="33" max="33" width="11.6640625" bestFit="1" customWidth="1"/>
    <col min="34" max="34" width="13.33203125" bestFit="1" customWidth="1"/>
  </cols>
  <sheetData>
    <row r="1" spans="1:42"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42"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42" x14ac:dyDescent="0.2">
      <c r="A3" s="3" t="s">
        <v>15</v>
      </c>
      <c r="B3" s="10"/>
      <c r="C3" s="11"/>
      <c r="D3" s="10"/>
      <c r="E3" s="11"/>
      <c r="F3" s="10"/>
      <c r="G3" s="11"/>
      <c r="H3" s="10"/>
      <c r="I3" s="11"/>
      <c r="J3" s="10">
        <f>1.22*70000</f>
        <v>85400</v>
      </c>
      <c r="K3" s="11"/>
      <c r="L3" s="10"/>
      <c r="M3" s="11"/>
      <c r="N3" s="10"/>
      <c r="O3" s="11"/>
      <c r="P3" s="10"/>
      <c r="Q3" s="11"/>
      <c r="R3" s="10"/>
      <c r="S3" s="11"/>
      <c r="T3" s="84">
        <f>1.22*(30000+100000)</f>
        <v>158600</v>
      </c>
      <c r="U3" s="11"/>
      <c r="V3" s="10"/>
      <c r="W3" s="11"/>
      <c r="X3" s="10"/>
      <c r="Y3" s="11"/>
      <c r="Z3" s="10"/>
      <c r="AA3" s="11"/>
      <c r="AB3" s="10"/>
      <c r="AC3" s="11">
        <f>2*50160*0.4</f>
        <v>40128</v>
      </c>
      <c r="AD3" s="12">
        <f>1.22*80000</f>
        <v>97600</v>
      </c>
      <c r="AE3" s="13"/>
      <c r="AF3" s="65">
        <f>B3+D3+F3+H3+J3+L3+N3+P3+R3+T3+V3+X3+Z3+AB3+AD3</f>
        <v>341600</v>
      </c>
      <c r="AG3" s="69">
        <f>C3+E3+G3+I3+K3+M3+O3+Q3+S3+U3+W3+Y3+AA3+AC3+AE3</f>
        <v>40128</v>
      </c>
      <c r="AH3" s="64">
        <f>AF3+AG3</f>
        <v>381728</v>
      </c>
      <c r="AJ3" t="s">
        <v>94</v>
      </c>
    </row>
    <row r="4" spans="1:42" x14ac:dyDescent="0.2">
      <c r="A4" s="3" t="s">
        <v>16</v>
      </c>
      <c r="B4" s="10"/>
      <c r="C4" s="11"/>
      <c r="D4" s="10"/>
      <c r="E4" s="11"/>
      <c r="F4" s="10"/>
      <c r="G4" s="11"/>
      <c r="H4" s="10"/>
      <c r="I4" s="11"/>
      <c r="J4" s="10"/>
      <c r="K4" s="11"/>
      <c r="L4" s="10"/>
      <c r="M4" s="11"/>
      <c r="N4" s="10"/>
      <c r="O4" s="11"/>
      <c r="P4" s="10"/>
      <c r="Q4" s="11"/>
      <c r="R4" s="10"/>
      <c r="S4" s="11"/>
      <c r="T4" s="84">
        <f>1.22*15000</f>
        <v>18300</v>
      </c>
      <c r="U4" s="95">
        <f>50160/12*1.5</f>
        <v>6270</v>
      </c>
      <c r="V4" s="10"/>
      <c r="W4" s="11"/>
      <c r="X4" s="10"/>
      <c r="Y4" s="11"/>
      <c r="Z4" s="10"/>
      <c r="AA4" s="11"/>
      <c r="AB4" s="10"/>
      <c r="AC4" s="11"/>
      <c r="AD4" s="12"/>
      <c r="AE4" s="13"/>
      <c r="AF4" s="65">
        <f t="shared" ref="AF4:AG14" si="0">B4+D4+F4+H4+J4+L4+N4+P4+R4+T4+V4+X4+Z4+AB4+AD4</f>
        <v>18300</v>
      </c>
      <c r="AG4" s="69">
        <f t="shared" si="0"/>
        <v>6270</v>
      </c>
      <c r="AH4" s="64">
        <f t="shared" ref="AH4:AH14" si="1">AF4+AG4</f>
        <v>24570</v>
      </c>
      <c r="AJ4" t="s">
        <v>96</v>
      </c>
    </row>
    <row r="5" spans="1:42" x14ac:dyDescent="0.2">
      <c r="A5" s="3" t="s">
        <v>17</v>
      </c>
      <c r="B5" s="10"/>
      <c r="C5" s="11"/>
      <c r="D5" s="10"/>
      <c r="E5" s="11"/>
      <c r="F5" s="10"/>
      <c r="G5" s="11"/>
      <c r="H5" s="10"/>
      <c r="I5" s="11"/>
      <c r="J5" s="10">
        <f>1.22*15000</f>
        <v>18300</v>
      </c>
      <c r="K5" s="11"/>
      <c r="L5" s="10"/>
      <c r="M5" s="11"/>
      <c r="N5" s="10"/>
      <c r="O5" s="11"/>
      <c r="P5" s="10"/>
      <c r="Q5" s="11"/>
      <c r="R5" s="10"/>
      <c r="S5" s="11"/>
      <c r="T5" s="84"/>
      <c r="U5" s="95">
        <f>50160/12*4</f>
        <v>16720</v>
      </c>
      <c r="V5" s="10"/>
      <c r="W5" s="11"/>
      <c r="X5" s="10"/>
      <c r="Y5" s="11"/>
      <c r="Z5" s="10"/>
      <c r="AA5" s="11"/>
      <c r="AB5" s="10">
        <f>1.22*20000</f>
        <v>24400</v>
      </c>
      <c r="AC5" s="11"/>
      <c r="AD5" s="12"/>
      <c r="AE5" s="13"/>
      <c r="AF5" s="65">
        <f t="shared" si="0"/>
        <v>42700</v>
      </c>
      <c r="AG5" s="69">
        <f t="shared" si="0"/>
        <v>16720</v>
      </c>
      <c r="AH5" s="64">
        <f t="shared" si="1"/>
        <v>59420</v>
      </c>
      <c r="AJ5" t="s">
        <v>107</v>
      </c>
    </row>
    <row r="6" spans="1:42" x14ac:dyDescent="0.2">
      <c r="A6" s="3" t="s">
        <v>18</v>
      </c>
      <c r="B6" s="10"/>
      <c r="C6" s="11"/>
      <c r="D6" s="10"/>
      <c r="E6" s="11"/>
      <c r="F6" s="10"/>
      <c r="G6" s="11"/>
      <c r="H6" s="10"/>
      <c r="I6" s="11"/>
      <c r="J6" s="10"/>
      <c r="K6" s="11"/>
      <c r="L6" s="10"/>
      <c r="M6" s="11"/>
      <c r="N6" s="10"/>
      <c r="O6" s="11"/>
      <c r="P6" s="10"/>
      <c r="Q6" s="11"/>
      <c r="R6" s="10"/>
      <c r="S6" s="11"/>
      <c r="T6" s="84"/>
      <c r="U6" s="95">
        <f>50160/12*2</f>
        <v>8360</v>
      </c>
      <c r="V6" s="10"/>
      <c r="W6" s="11"/>
      <c r="X6" s="10"/>
      <c r="Y6" s="11"/>
      <c r="Z6" s="10"/>
      <c r="AA6" s="11"/>
      <c r="AB6" s="10"/>
      <c r="AC6" s="11"/>
      <c r="AD6" s="12"/>
      <c r="AE6" s="13"/>
      <c r="AF6" s="65">
        <f t="shared" si="0"/>
        <v>0</v>
      </c>
      <c r="AG6" s="69">
        <f t="shared" si="0"/>
        <v>8360</v>
      </c>
      <c r="AH6" s="64">
        <f t="shared" si="1"/>
        <v>8360</v>
      </c>
      <c r="AJ6" t="s">
        <v>110</v>
      </c>
    </row>
    <row r="7" spans="1:42" x14ac:dyDescent="0.2">
      <c r="A7" s="3" t="s">
        <v>19</v>
      </c>
      <c r="B7" s="10"/>
      <c r="C7" s="11"/>
      <c r="D7" s="10"/>
      <c r="E7" s="11"/>
      <c r="F7" s="10"/>
      <c r="G7" s="11"/>
      <c r="H7" s="10"/>
      <c r="I7" s="11"/>
      <c r="J7" s="10"/>
      <c r="K7" s="11">
        <f>50160/12*4</f>
        <v>16720</v>
      </c>
      <c r="L7" s="10"/>
      <c r="M7" s="74"/>
      <c r="N7" s="10"/>
      <c r="O7" s="11"/>
      <c r="P7" s="10"/>
      <c r="Q7" s="11"/>
      <c r="R7" s="10"/>
      <c r="S7" s="11"/>
      <c r="T7" s="84"/>
      <c r="U7" s="95">
        <f>50160/12*8</f>
        <v>33440</v>
      </c>
      <c r="V7" s="10"/>
      <c r="W7" s="11"/>
      <c r="X7" s="10"/>
      <c r="Y7" s="11"/>
      <c r="Z7" s="10"/>
      <c r="AA7" s="11"/>
      <c r="AB7" s="10"/>
      <c r="AC7" s="11"/>
      <c r="AD7" s="12"/>
      <c r="AE7" s="13"/>
      <c r="AF7" s="65">
        <f t="shared" si="0"/>
        <v>0</v>
      </c>
      <c r="AG7" s="69">
        <f t="shared" si="0"/>
        <v>50160</v>
      </c>
      <c r="AH7" s="64">
        <f t="shared" si="1"/>
        <v>50160</v>
      </c>
      <c r="AJ7" t="s">
        <v>114</v>
      </c>
    </row>
    <row r="8" spans="1:42" x14ac:dyDescent="0.2">
      <c r="A8" s="3" t="s">
        <v>20</v>
      </c>
      <c r="B8" s="10"/>
      <c r="C8" s="11"/>
      <c r="D8" s="10"/>
      <c r="E8" s="11"/>
      <c r="F8" s="10"/>
      <c r="G8" s="11"/>
      <c r="H8" s="10"/>
      <c r="I8" s="11"/>
      <c r="J8" s="10"/>
      <c r="K8" s="11"/>
      <c r="L8" s="10"/>
      <c r="M8" s="11"/>
      <c r="N8" s="10"/>
      <c r="O8" s="11"/>
      <c r="P8" s="10"/>
      <c r="Q8" s="11"/>
      <c r="R8" s="10"/>
      <c r="S8" s="11"/>
      <c r="T8" s="84"/>
      <c r="U8" s="95">
        <f>50160/12</f>
        <v>4180</v>
      </c>
      <c r="V8" s="10"/>
      <c r="W8" s="11"/>
      <c r="X8" s="10"/>
      <c r="Y8" s="11"/>
      <c r="Z8" s="10"/>
      <c r="AA8" s="11"/>
      <c r="AB8" s="10"/>
      <c r="AC8" s="11"/>
      <c r="AD8" s="12"/>
      <c r="AE8" s="13"/>
      <c r="AF8" s="65">
        <f t="shared" si="0"/>
        <v>0</v>
      </c>
      <c r="AG8" s="69">
        <f t="shared" si="0"/>
        <v>4180</v>
      </c>
      <c r="AH8" s="64">
        <f t="shared" si="1"/>
        <v>4180</v>
      </c>
      <c r="AJ8" t="s">
        <v>147</v>
      </c>
    </row>
    <row r="9" spans="1:42" x14ac:dyDescent="0.2">
      <c r="A9" s="3" t="s">
        <v>21</v>
      </c>
      <c r="B9" s="10"/>
      <c r="C9" s="11"/>
      <c r="D9" s="10"/>
      <c r="E9" s="11"/>
      <c r="F9" s="10"/>
      <c r="G9" s="11"/>
      <c r="H9" s="10"/>
      <c r="I9" s="11"/>
      <c r="J9" s="10"/>
      <c r="K9" s="11"/>
      <c r="L9" s="10"/>
      <c r="M9" s="11"/>
      <c r="N9" s="10"/>
      <c r="O9" s="11"/>
      <c r="P9" s="10"/>
      <c r="Q9" s="11"/>
      <c r="R9" s="10"/>
      <c r="S9" s="11"/>
      <c r="T9" s="84"/>
      <c r="U9" s="95">
        <f>2*50160/12*2+2*50160/12*2</f>
        <v>33440</v>
      </c>
      <c r="V9" s="10"/>
      <c r="W9" s="11"/>
      <c r="X9" s="10"/>
      <c r="Y9" s="11"/>
      <c r="Z9" s="10"/>
      <c r="AA9" s="11"/>
      <c r="AB9" s="10"/>
      <c r="AC9" s="11"/>
      <c r="AD9" s="12"/>
      <c r="AE9" s="13"/>
      <c r="AF9" s="65">
        <f t="shared" si="0"/>
        <v>0</v>
      </c>
      <c r="AG9" s="69">
        <f t="shared" si="0"/>
        <v>33440</v>
      </c>
      <c r="AH9" s="64">
        <f t="shared" si="1"/>
        <v>33440</v>
      </c>
      <c r="AJ9" t="s">
        <v>155</v>
      </c>
      <c r="AM9" t="s">
        <v>156</v>
      </c>
      <c r="AP9" t="s">
        <v>162</v>
      </c>
    </row>
    <row r="10" spans="1:42" x14ac:dyDescent="0.2">
      <c r="A10" s="3" t="s">
        <v>22</v>
      </c>
      <c r="B10" s="10"/>
      <c r="C10" s="11"/>
      <c r="D10" s="10"/>
      <c r="E10" s="11"/>
      <c r="F10" s="10"/>
      <c r="G10" s="11"/>
      <c r="H10" s="10"/>
      <c r="I10" s="11"/>
      <c r="J10" s="10"/>
      <c r="K10" s="11">
        <v>8360</v>
      </c>
      <c r="L10" s="10"/>
      <c r="M10" s="11"/>
      <c r="N10" s="10"/>
      <c r="O10" s="11"/>
      <c r="P10" s="10"/>
      <c r="Q10" s="11"/>
      <c r="R10" s="10"/>
      <c r="S10" s="11"/>
      <c r="T10" s="84">
        <f>1.22*13000</f>
        <v>15860</v>
      </c>
      <c r="U10" s="95">
        <f>44080/12*2</f>
        <v>7346.666666666667</v>
      </c>
      <c r="V10" s="10"/>
      <c r="W10" s="11"/>
      <c r="X10" s="10"/>
      <c r="Y10" s="11"/>
      <c r="Z10" s="10"/>
      <c r="AA10" s="11"/>
      <c r="AB10" s="10"/>
      <c r="AC10" s="11"/>
      <c r="AD10" s="12"/>
      <c r="AE10" s="13"/>
      <c r="AF10" s="65">
        <f t="shared" si="0"/>
        <v>15860</v>
      </c>
      <c r="AG10" s="69">
        <f t="shared" si="0"/>
        <v>15706.666666666668</v>
      </c>
      <c r="AH10" s="64">
        <f t="shared" si="1"/>
        <v>31566.666666666668</v>
      </c>
      <c r="AJ10" t="s">
        <v>187</v>
      </c>
      <c r="AM10" t="s">
        <v>197</v>
      </c>
    </row>
    <row r="11" spans="1:42" x14ac:dyDescent="0.2">
      <c r="A11" s="3" t="s">
        <v>23</v>
      </c>
      <c r="B11" s="10"/>
      <c r="C11" s="11"/>
      <c r="D11" s="10"/>
      <c r="E11" s="11"/>
      <c r="F11" s="10"/>
      <c r="G11" s="11"/>
      <c r="H11" s="10"/>
      <c r="I11" s="11"/>
      <c r="J11" s="10"/>
      <c r="K11" s="11">
        <f>51084/2</f>
        <v>25542</v>
      </c>
      <c r="L11" s="10"/>
      <c r="M11" s="11"/>
      <c r="N11" s="10"/>
      <c r="O11" s="11"/>
      <c r="P11" s="10"/>
      <c r="Q11" s="11"/>
      <c r="R11" s="10">
        <f>1.22*1700000</f>
        <v>2074000</v>
      </c>
      <c r="S11" s="77">
        <f>51084/12*8</f>
        <v>34056</v>
      </c>
      <c r="T11" s="84"/>
      <c r="U11" s="95">
        <f>51084/12*2</f>
        <v>8514</v>
      </c>
      <c r="V11" s="10"/>
      <c r="W11" s="11"/>
      <c r="X11" s="10"/>
      <c r="Y11" s="11"/>
      <c r="Z11" s="10"/>
      <c r="AA11" s="11">
        <f>51084/12*6</f>
        <v>25542</v>
      </c>
      <c r="AB11" s="10"/>
      <c r="AC11" s="11">
        <f>51084/12*2</f>
        <v>8514</v>
      </c>
      <c r="AD11" s="12"/>
      <c r="AE11" s="13"/>
      <c r="AF11" s="65">
        <f t="shared" si="0"/>
        <v>2074000</v>
      </c>
      <c r="AG11" s="69">
        <f t="shared" si="0"/>
        <v>102168</v>
      </c>
      <c r="AH11" s="64">
        <f t="shared" si="1"/>
        <v>2176168</v>
      </c>
      <c r="AJ11" t="s">
        <v>206</v>
      </c>
    </row>
    <row r="12" spans="1:42" x14ac:dyDescent="0.2">
      <c r="A12" s="3" t="s">
        <v>24</v>
      </c>
      <c r="B12" s="10"/>
      <c r="C12" s="11"/>
      <c r="D12" s="10"/>
      <c r="E12" s="11"/>
      <c r="F12" s="10"/>
      <c r="G12" s="11"/>
      <c r="H12" s="10"/>
      <c r="I12" s="11"/>
      <c r="J12" s="10"/>
      <c r="K12" s="11">
        <f>46500/12*4</f>
        <v>15500</v>
      </c>
      <c r="L12" s="10"/>
      <c r="M12" s="11"/>
      <c r="N12" s="10"/>
      <c r="O12" s="11"/>
      <c r="P12" s="10"/>
      <c r="Q12" s="11"/>
      <c r="R12" s="10"/>
      <c r="S12" s="11"/>
      <c r="T12" s="84">
        <f>1.22*6000</f>
        <v>7320</v>
      </c>
      <c r="U12" s="11"/>
      <c r="V12" s="10"/>
      <c r="W12" s="11"/>
      <c r="X12" s="10"/>
      <c r="Y12" s="11"/>
      <c r="Z12" s="10"/>
      <c r="AA12" s="11"/>
      <c r="AB12" s="10"/>
      <c r="AC12" s="11"/>
      <c r="AD12" s="12"/>
      <c r="AE12" s="13"/>
      <c r="AF12" s="65">
        <f t="shared" si="0"/>
        <v>7320</v>
      </c>
      <c r="AG12" s="69">
        <f t="shared" si="0"/>
        <v>15500</v>
      </c>
      <c r="AH12" s="64">
        <f t="shared" si="1"/>
        <v>22820</v>
      </c>
      <c r="AJ12" t="s">
        <v>221</v>
      </c>
    </row>
    <row r="13" spans="1:42" ht="17" thickBot="1" x14ac:dyDescent="0.25">
      <c r="A13" s="4" t="s">
        <v>25</v>
      </c>
      <c r="B13" s="14"/>
      <c r="C13" s="15"/>
      <c r="D13" s="14"/>
      <c r="E13" s="15"/>
      <c r="F13" s="14"/>
      <c r="G13" s="15"/>
      <c r="H13" s="14"/>
      <c r="I13" s="15"/>
      <c r="J13" s="14"/>
      <c r="K13" s="15"/>
      <c r="L13" s="14"/>
      <c r="M13" s="15"/>
      <c r="N13" s="14"/>
      <c r="O13" s="15"/>
      <c r="P13" s="14"/>
      <c r="Q13" s="15"/>
      <c r="R13" s="14"/>
      <c r="S13" s="15"/>
      <c r="T13" s="85">
        <f>1.22*60000</f>
        <v>73200</v>
      </c>
      <c r="U13" s="15"/>
      <c r="V13" s="14"/>
      <c r="W13" s="15"/>
      <c r="X13" s="14"/>
      <c r="Y13" s="15"/>
      <c r="Z13" s="14"/>
      <c r="AA13" s="15"/>
      <c r="AB13" s="14"/>
      <c r="AC13" s="15"/>
      <c r="AD13" s="16"/>
      <c r="AE13" s="17"/>
      <c r="AF13" s="66">
        <f t="shared" si="0"/>
        <v>73200</v>
      </c>
      <c r="AG13" s="70">
        <f t="shared" si="0"/>
        <v>0</v>
      </c>
      <c r="AH13" s="70">
        <f t="shared" si="1"/>
        <v>73200</v>
      </c>
    </row>
    <row r="14" spans="1:42" ht="17" thickBot="1" x14ac:dyDescent="0.25">
      <c r="A14" s="5" t="s">
        <v>26</v>
      </c>
      <c r="B14" s="18">
        <f>SUM(B3:B13)</f>
        <v>0</v>
      </c>
      <c r="C14" s="19">
        <f t="shared" ref="C14:AE14" si="2">SUM(C3:C13)</f>
        <v>0</v>
      </c>
      <c r="D14" s="18">
        <f t="shared" si="2"/>
        <v>0</v>
      </c>
      <c r="E14" s="19">
        <f t="shared" si="2"/>
        <v>0</v>
      </c>
      <c r="F14" s="18">
        <f>SUM(F3:F13)</f>
        <v>0</v>
      </c>
      <c r="G14" s="19">
        <f>SUM(G3:G13)</f>
        <v>0</v>
      </c>
      <c r="H14" s="18">
        <f t="shared" si="2"/>
        <v>0</v>
      </c>
      <c r="I14" s="19">
        <f t="shared" si="2"/>
        <v>0</v>
      </c>
      <c r="J14" s="18">
        <f t="shared" si="2"/>
        <v>103700</v>
      </c>
      <c r="K14" s="19">
        <f t="shared" si="2"/>
        <v>66122</v>
      </c>
      <c r="L14" s="18">
        <f t="shared" si="2"/>
        <v>0</v>
      </c>
      <c r="M14" s="19">
        <f t="shared" si="2"/>
        <v>0</v>
      </c>
      <c r="N14" s="18">
        <f t="shared" si="2"/>
        <v>0</v>
      </c>
      <c r="O14" s="19">
        <f t="shared" si="2"/>
        <v>0</v>
      </c>
      <c r="P14" s="18">
        <f t="shared" si="2"/>
        <v>0</v>
      </c>
      <c r="Q14" s="19">
        <f t="shared" si="2"/>
        <v>0</v>
      </c>
      <c r="R14" s="18">
        <f t="shared" si="2"/>
        <v>2074000</v>
      </c>
      <c r="S14" s="19">
        <f t="shared" si="2"/>
        <v>34056</v>
      </c>
      <c r="T14" s="18">
        <f t="shared" si="2"/>
        <v>273280</v>
      </c>
      <c r="U14" s="19">
        <f t="shared" si="2"/>
        <v>118270.66666666667</v>
      </c>
      <c r="V14" s="18">
        <f t="shared" si="2"/>
        <v>0</v>
      </c>
      <c r="W14" s="19">
        <f t="shared" si="2"/>
        <v>0</v>
      </c>
      <c r="X14" s="18">
        <f t="shared" si="2"/>
        <v>0</v>
      </c>
      <c r="Y14" s="19">
        <f t="shared" si="2"/>
        <v>0</v>
      </c>
      <c r="Z14" s="18">
        <f t="shared" si="2"/>
        <v>0</v>
      </c>
      <c r="AA14" s="19">
        <f t="shared" si="2"/>
        <v>25542</v>
      </c>
      <c r="AB14" s="18">
        <f t="shared" si="2"/>
        <v>24400</v>
      </c>
      <c r="AC14" s="19">
        <f t="shared" si="2"/>
        <v>48642</v>
      </c>
      <c r="AD14" s="20">
        <f t="shared" si="2"/>
        <v>97600</v>
      </c>
      <c r="AE14" s="21">
        <f t="shared" si="2"/>
        <v>0</v>
      </c>
      <c r="AF14" s="67">
        <f t="shared" si="0"/>
        <v>2572980</v>
      </c>
      <c r="AG14" s="71">
        <f t="shared" si="0"/>
        <v>292632.66666666669</v>
      </c>
      <c r="AH14" s="71">
        <f t="shared" si="1"/>
        <v>2865612.6666666665</v>
      </c>
    </row>
    <row r="15" spans="1:42" ht="17" thickBot="1" x14ac:dyDescent="0.25">
      <c r="A15" s="6" t="s">
        <v>29</v>
      </c>
      <c r="B15" s="123">
        <f>B14+C14</f>
        <v>0</v>
      </c>
      <c r="C15" s="124"/>
      <c r="D15" s="123">
        <f>D14+E14</f>
        <v>0</v>
      </c>
      <c r="E15" s="124"/>
      <c r="F15" s="123">
        <f>F14+G14</f>
        <v>0</v>
      </c>
      <c r="G15" s="124"/>
      <c r="H15" s="123">
        <f>H14+I14</f>
        <v>0</v>
      </c>
      <c r="I15" s="124"/>
      <c r="J15" s="123">
        <f>J14+K14</f>
        <v>169822</v>
      </c>
      <c r="K15" s="124"/>
      <c r="L15" s="123">
        <f>L14+M14</f>
        <v>0</v>
      </c>
      <c r="M15" s="124"/>
      <c r="N15" s="123">
        <f>N14+O14</f>
        <v>0</v>
      </c>
      <c r="O15" s="124"/>
      <c r="P15" s="123">
        <f>P14+Q14</f>
        <v>0</v>
      </c>
      <c r="Q15" s="124"/>
      <c r="R15" s="92">
        <f>R14</f>
        <v>2074000</v>
      </c>
      <c r="S15" s="93">
        <f>S14</f>
        <v>34056</v>
      </c>
      <c r="T15" s="92">
        <f>U14/2</f>
        <v>59135.333333333336</v>
      </c>
      <c r="U15" s="93">
        <f>T14+U14/2</f>
        <v>332415.33333333331</v>
      </c>
      <c r="V15" s="123">
        <f>V14+W14</f>
        <v>0</v>
      </c>
      <c r="W15" s="124"/>
      <c r="X15" s="123">
        <f>X14+Y14</f>
        <v>0</v>
      </c>
      <c r="Y15" s="124"/>
      <c r="Z15" s="123">
        <f>Z14+AA14</f>
        <v>25542</v>
      </c>
      <c r="AA15" s="124"/>
      <c r="AB15" s="123">
        <f>AB14+AC14</f>
        <v>73042</v>
      </c>
      <c r="AC15" s="124"/>
      <c r="AD15" s="134">
        <f>AD14+AE14</f>
        <v>97600</v>
      </c>
      <c r="AE15" s="118"/>
      <c r="AF15" s="68"/>
      <c r="AG15" s="46"/>
      <c r="AH15" s="72">
        <f t="shared" ref="AH15" si="3">SUM(B15:AE15)</f>
        <v>2865612.666666667</v>
      </c>
    </row>
    <row r="16" spans="1:42" ht="17" thickBot="1" x14ac:dyDescent="0.25">
      <c r="A16" s="6" t="s">
        <v>254</v>
      </c>
      <c r="B16" s="123">
        <f>1.07*B15</f>
        <v>0</v>
      </c>
      <c r="C16" s="124"/>
      <c r="D16" s="123">
        <f t="shared" ref="D16" si="4">1.07*D15</f>
        <v>0</v>
      </c>
      <c r="E16" s="124"/>
      <c r="F16" s="123">
        <f t="shared" ref="F16" si="5">1.07*F15</f>
        <v>0</v>
      </c>
      <c r="G16" s="124"/>
      <c r="H16" s="123">
        <f t="shared" ref="H16" si="6">1.07*H15</f>
        <v>0</v>
      </c>
      <c r="I16" s="124"/>
      <c r="J16" s="123">
        <f t="shared" ref="J16" si="7">1.07*J15</f>
        <v>181709.54</v>
      </c>
      <c r="K16" s="124"/>
      <c r="L16" s="123">
        <f t="shared" ref="L16" si="8">1.07*L15</f>
        <v>0</v>
      </c>
      <c r="M16" s="124"/>
      <c r="N16" s="123">
        <f t="shared" ref="N16" si="9">1.07*N15</f>
        <v>0</v>
      </c>
      <c r="O16" s="124"/>
      <c r="P16" s="123">
        <f t="shared" ref="P16" si="10">1.07*P15</f>
        <v>0</v>
      </c>
      <c r="Q16" s="124"/>
      <c r="R16" s="92">
        <f t="shared" ref="R16" si="11">1.07*R15</f>
        <v>2219180</v>
      </c>
      <c r="S16" s="93">
        <f t="shared" ref="S16" si="12">1.07*S15</f>
        <v>36439.920000000006</v>
      </c>
      <c r="T16" s="92">
        <f t="shared" ref="T16" si="13">1.07*T15</f>
        <v>63274.806666666671</v>
      </c>
      <c r="U16" s="93">
        <f t="shared" ref="U16" si="14">1.07*U15</f>
        <v>355684.40666666668</v>
      </c>
      <c r="V16" s="123">
        <f t="shared" ref="V16" si="15">1.07*V15</f>
        <v>0</v>
      </c>
      <c r="W16" s="124"/>
      <c r="X16" s="123">
        <f t="shared" ref="X16" si="16">1.07*X15</f>
        <v>0</v>
      </c>
      <c r="Y16" s="124"/>
      <c r="Z16" s="123">
        <f t="shared" ref="Z16" si="17">1.07*Z15</f>
        <v>27329.940000000002</v>
      </c>
      <c r="AA16" s="124"/>
      <c r="AB16" s="123">
        <f t="shared" ref="AB16" si="18">1.07*AB15</f>
        <v>78154.94</v>
      </c>
      <c r="AC16" s="124"/>
      <c r="AD16" s="123">
        <f t="shared" ref="AD16" si="19">1.07*AD15</f>
        <v>104432</v>
      </c>
      <c r="AE16" s="118"/>
      <c r="AF16" s="117">
        <f t="shared" ref="AF16" si="20">1.07*AF15</f>
        <v>0</v>
      </c>
      <c r="AG16" s="118"/>
      <c r="AH16" s="72">
        <f t="shared" ref="AH16" si="21">1.07*AH15</f>
        <v>3066205.5533333337</v>
      </c>
    </row>
    <row r="18" spans="1:31" ht="17" thickBot="1" x14ac:dyDescent="0.25"/>
    <row r="19" spans="1:31" x14ac:dyDescent="0.2">
      <c r="A19" s="51" t="s">
        <v>33</v>
      </c>
      <c r="B19" s="125"/>
      <c r="C19" s="126"/>
      <c r="D19" s="125"/>
      <c r="E19" s="126"/>
      <c r="F19" s="125"/>
      <c r="G19" s="126"/>
      <c r="H19" s="125"/>
      <c r="I19" s="126"/>
      <c r="J19" s="125" t="s">
        <v>255</v>
      </c>
      <c r="K19" s="126"/>
      <c r="L19" s="125"/>
      <c r="M19" s="126"/>
      <c r="N19" s="125"/>
      <c r="O19" s="126"/>
      <c r="P19" s="125"/>
      <c r="Q19" s="126"/>
      <c r="R19" s="57" t="s">
        <v>256</v>
      </c>
      <c r="S19" s="81" t="s">
        <v>257</v>
      </c>
      <c r="T19" s="103" t="s">
        <v>258</v>
      </c>
      <c r="U19" s="81" t="s">
        <v>259</v>
      </c>
      <c r="V19" s="132"/>
      <c r="W19" s="133"/>
      <c r="X19" s="132"/>
      <c r="Y19" s="133"/>
      <c r="Z19" s="132" t="s">
        <v>263</v>
      </c>
      <c r="AA19" s="133"/>
      <c r="AB19" s="132" t="s">
        <v>264</v>
      </c>
      <c r="AC19" s="133"/>
      <c r="AD19" s="125" t="s">
        <v>265</v>
      </c>
      <c r="AE19" s="127"/>
    </row>
    <row r="20" spans="1:31" ht="17" thickBot="1" x14ac:dyDescent="0.25">
      <c r="A20" s="52" t="s">
        <v>35</v>
      </c>
      <c r="B20" s="104"/>
      <c r="C20" s="105"/>
      <c r="D20" s="106"/>
      <c r="E20" s="107"/>
      <c r="F20" s="104"/>
      <c r="G20" s="107"/>
      <c r="H20" s="104"/>
      <c r="I20" s="107"/>
      <c r="J20" s="104" t="s">
        <v>518</v>
      </c>
      <c r="K20" s="107"/>
      <c r="L20" s="104"/>
      <c r="M20" s="107"/>
      <c r="N20" s="104"/>
      <c r="O20" s="107"/>
      <c r="P20" s="104"/>
      <c r="Q20" s="107"/>
      <c r="R20" s="104" t="s">
        <v>519</v>
      </c>
      <c r="S20" s="107" t="s">
        <v>520</v>
      </c>
      <c r="T20" s="104" t="s">
        <v>521</v>
      </c>
      <c r="U20" s="107" t="s">
        <v>522</v>
      </c>
      <c r="V20" s="104"/>
      <c r="W20" s="105"/>
      <c r="X20" s="106"/>
      <c r="Y20" s="105"/>
      <c r="Z20" s="106" t="s">
        <v>523</v>
      </c>
      <c r="AA20" s="107"/>
      <c r="AB20" s="104" t="s">
        <v>524</v>
      </c>
      <c r="AC20" s="107"/>
      <c r="AD20" s="104" t="s">
        <v>525</v>
      </c>
      <c r="AE20" s="108"/>
    </row>
    <row r="25" spans="1:31" x14ac:dyDescent="0.2">
      <c r="A25" s="60" t="s">
        <v>255</v>
      </c>
      <c r="B25" t="s">
        <v>267</v>
      </c>
    </row>
    <row r="26" spans="1:31" x14ac:dyDescent="0.2">
      <c r="B26" t="s">
        <v>281</v>
      </c>
      <c r="C26" t="s">
        <v>559</v>
      </c>
    </row>
    <row r="27" spans="1:31" x14ac:dyDescent="0.2">
      <c r="B27" s="60" t="s">
        <v>34</v>
      </c>
      <c r="C27" t="s">
        <v>430</v>
      </c>
    </row>
    <row r="28" spans="1:31" x14ac:dyDescent="0.2">
      <c r="C28" s="60" t="s">
        <v>518</v>
      </c>
      <c r="D28" s="90" t="s">
        <v>429</v>
      </c>
    </row>
    <row r="30" spans="1:31" x14ac:dyDescent="0.2">
      <c r="A30" s="60" t="s">
        <v>256</v>
      </c>
      <c r="B30" t="s">
        <v>432</v>
      </c>
    </row>
    <row r="31" spans="1:31" x14ac:dyDescent="0.2">
      <c r="B31" t="s">
        <v>281</v>
      </c>
      <c r="C31" t="s">
        <v>464</v>
      </c>
    </row>
    <row r="32" spans="1:31" x14ac:dyDescent="0.2">
      <c r="B32" s="60" t="s">
        <v>34</v>
      </c>
      <c r="C32" t="s">
        <v>466</v>
      </c>
    </row>
    <row r="33" spans="1:4" x14ac:dyDescent="0.2">
      <c r="B33" s="60" t="s">
        <v>34</v>
      </c>
      <c r="C33" t="s">
        <v>465</v>
      </c>
    </row>
    <row r="34" spans="1:4" x14ac:dyDescent="0.2">
      <c r="C34" s="60" t="s">
        <v>519</v>
      </c>
      <c r="D34" s="90" t="s">
        <v>431</v>
      </c>
    </row>
    <row r="36" spans="1:4" x14ac:dyDescent="0.2">
      <c r="A36" s="60" t="s">
        <v>257</v>
      </c>
      <c r="B36" t="s">
        <v>433</v>
      </c>
    </row>
    <row r="37" spans="1:4" x14ac:dyDescent="0.2">
      <c r="B37" t="s">
        <v>281</v>
      </c>
      <c r="C37" t="s">
        <v>467</v>
      </c>
    </row>
    <row r="38" spans="1:4" x14ac:dyDescent="0.2">
      <c r="B38" s="60" t="s">
        <v>34</v>
      </c>
      <c r="C38" s="90" t="s">
        <v>434</v>
      </c>
    </row>
    <row r="39" spans="1:4" x14ac:dyDescent="0.2">
      <c r="C39" s="60" t="s">
        <v>520</v>
      </c>
      <c r="D39" t="s">
        <v>468</v>
      </c>
    </row>
    <row r="41" spans="1:4" x14ac:dyDescent="0.2">
      <c r="A41" s="60" t="s">
        <v>258</v>
      </c>
      <c r="B41" t="s">
        <v>260</v>
      </c>
    </row>
    <row r="42" spans="1:4" x14ac:dyDescent="0.2">
      <c r="B42" t="s">
        <v>281</v>
      </c>
      <c r="C42" t="s">
        <v>470</v>
      </c>
    </row>
    <row r="43" spans="1:4" x14ac:dyDescent="0.2">
      <c r="B43" s="60" t="s">
        <v>34</v>
      </c>
      <c r="C43" s="90" t="s">
        <v>472</v>
      </c>
    </row>
    <row r="44" spans="1:4" x14ac:dyDescent="0.2">
      <c r="C44" s="60" t="s">
        <v>521</v>
      </c>
      <c r="D44" t="s">
        <v>471</v>
      </c>
    </row>
    <row r="45" spans="1:4" x14ac:dyDescent="0.2">
      <c r="C45" s="60"/>
    </row>
    <row r="46" spans="1:4" x14ac:dyDescent="0.2">
      <c r="A46" s="60" t="s">
        <v>259</v>
      </c>
      <c r="B46" t="s">
        <v>261</v>
      </c>
    </row>
    <row r="47" spans="1:4" x14ac:dyDescent="0.2">
      <c r="B47" t="s">
        <v>281</v>
      </c>
      <c r="C47" t="s">
        <v>560</v>
      </c>
    </row>
    <row r="48" spans="1:4" x14ac:dyDescent="0.2">
      <c r="B48" s="60" t="s">
        <v>34</v>
      </c>
      <c r="C48" s="90" t="s">
        <v>474</v>
      </c>
    </row>
    <row r="49" spans="1:4" x14ac:dyDescent="0.2">
      <c r="C49" s="60" t="s">
        <v>522</v>
      </c>
      <c r="D49" t="s">
        <v>473</v>
      </c>
    </row>
    <row r="50" spans="1:4" x14ac:dyDescent="0.2">
      <c r="C50" s="60"/>
    </row>
    <row r="51" spans="1:4" x14ac:dyDescent="0.2">
      <c r="A51" s="60" t="s">
        <v>263</v>
      </c>
      <c r="B51" t="s">
        <v>435</v>
      </c>
    </row>
    <row r="52" spans="1:4" x14ac:dyDescent="0.2">
      <c r="B52" t="s">
        <v>281</v>
      </c>
      <c r="C52" t="s">
        <v>469</v>
      </c>
    </row>
    <row r="53" spans="1:4" x14ac:dyDescent="0.2">
      <c r="B53" s="60" t="s">
        <v>34</v>
      </c>
      <c r="C53" s="90" t="s">
        <v>434</v>
      </c>
    </row>
    <row r="54" spans="1:4" x14ac:dyDescent="0.2">
      <c r="C54" s="60" t="s">
        <v>523</v>
      </c>
      <c r="D54" t="s">
        <v>436</v>
      </c>
    </row>
    <row r="55" spans="1:4" x14ac:dyDescent="0.2">
      <c r="C55" s="60"/>
    </row>
    <row r="56" spans="1:4" x14ac:dyDescent="0.2">
      <c r="A56" s="60" t="s">
        <v>264</v>
      </c>
      <c r="B56" t="s">
        <v>262</v>
      </c>
    </row>
    <row r="57" spans="1:4" x14ac:dyDescent="0.2">
      <c r="B57" t="s">
        <v>281</v>
      </c>
      <c r="C57" t="s">
        <v>475</v>
      </c>
    </row>
    <row r="58" spans="1:4" x14ac:dyDescent="0.2">
      <c r="B58" s="60" t="s">
        <v>34</v>
      </c>
      <c r="C58" s="90" t="s">
        <v>474</v>
      </c>
    </row>
    <row r="59" spans="1:4" x14ac:dyDescent="0.2">
      <c r="C59" s="60" t="s">
        <v>524</v>
      </c>
      <c r="D59" t="s">
        <v>476</v>
      </c>
    </row>
    <row r="61" spans="1:4" x14ac:dyDescent="0.2">
      <c r="A61" s="60" t="s">
        <v>265</v>
      </c>
      <c r="B61" t="s">
        <v>266</v>
      </c>
    </row>
    <row r="62" spans="1:4" x14ac:dyDescent="0.2">
      <c r="B62" t="s">
        <v>281</v>
      </c>
      <c r="C62" t="s">
        <v>561</v>
      </c>
    </row>
    <row r="63" spans="1:4" x14ac:dyDescent="0.2">
      <c r="B63" s="60" t="s">
        <v>34</v>
      </c>
      <c r="C63" s="90" t="s">
        <v>478</v>
      </c>
    </row>
    <row r="64" spans="1:4" x14ac:dyDescent="0.2">
      <c r="C64" s="60" t="s">
        <v>525</v>
      </c>
      <c r="D64" t="s">
        <v>477</v>
      </c>
    </row>
  </sheetData>
  <sheetProtection algorithmName="SHA-512" hashValue="u63h3T7fe29tIRGjS91LA4ZTs4xLpTeAxF94OyamC0GuhWkIY+SeEuvsnpELoGy9XfNGhEVs1fqWO5VpG+ss8Q==" saltValue="sqbMmLunCnTqeR5GrDvgLQ==" spinCount="100000" sheet="1" objects="1" scenarios="1"/>
  <mergeCells count="57">
    <mergeCell ref="L19:M19"/>
    <mergeCell ref="N19:O19"/>
    <mergeCell ref="B1:C1"/>
    <mergeCell ref="D1:E1"/>
    <mergeCell ref="F1:G1"/>
    <mergeCell ref="H1:I1"/>
    <mergeCell ref="J1:K1"/>
    <mergeCell ref="L15:M15"/>
    <mergeCell ref="N15:O15"/>
    <mergeCell ref="N1:O1"/>
    <mergeCell ref="B19:C19"/>
    <mergeCell ref="D19:E19"/>
    <mergeCell ref="F19:G19"/>
    <mergeCell ref="H19:I19"/>
    <mergeCell ref="J19:K19"/>
    <mergeCell ref="T1:U1"/>
    <mergeCell ref="V1:W1"/>
    <mergeCell ref="X1:Y1"/>
    <mergeCell ref="AB15:AC15"/>
    <mergeCell ref="AD15:AE15"/>
    <mergeCell ref="Z1:AA1"/>
    <mergeCell ref="AB1:AC1"/>
    <mergeCell ref="V15:W15"/>
    <mergeCell ref="X15:Y15"/>
    <mergeCell ref="Z15:AA15"/>
    <mergeCell ref="P1:Q1"/>
    <mergeCell ref="R1:S1"/>
    <mergeCell ref="L1:M1"/>
    <mergeCell ref="P15:Q15"/>
    <mergeCell ref="B15:C15"/>
    <mergeCell ref="D15:E15"/>
    <mergeCell ref="F15:G15"/>
    <mergeCell ref="H15:I15"/>
    <mergeCell ref="J15:K15"/>
    <mergeCell ref="V19:W19"/>
    <mergeCell ref="X19:Y19"/>
    <mergeCell ref="AD19:AE19"/>
    <mergeCell ref="AD16:AE16"/>
    <mergeCell ref="P19:Q19"/>
    <mergeCell ref="Z19:AA19"/>
    <mergeCell ref="AB19:AC19"/>
    <mergeCell ref="AF16:AG16"/>
    <mergeCell ref="AF1:AG1"/>
    <mergeCell ref="AH1:AH2"/>
    <mergeCell ref="B16:C16"/>
    <mergeCell ref="D16:E16"/>
    <mergeCell ref="F16:G16"/>
    <mergeCell ref="H16:I16"/>
    <mergeCell ref="J16:K16"/>
    <mergeCell ref="L16:M16"/>
    <mergeCell ref="N16:O16"/>
    <mergeCell ref="P16:Q16"/>
    <mergeCell ref="V16:W16"/>
    <mergeCell ref="X16:Y16"/>
    <mergeCell ref="Z16:AA16"/>
    <mergeCell ref="AB16:AC16"/>
    <mergeCell ref="AD1:AE1"/>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91"/>
  <sheetViews>
    <sheetView zoomScaleNormal="100" workbookViewId="0">
      <pane xSplit="1" topLeftCell="B1" activePane="topRight" state="frozen"/>
      <selection pane="topRight" activeCell="Y23" sqref="Y23"/>
    </sheetView>
  </sheetViews>
  <sheetFormatPr baseColWidth="10" defaultColWidth="11.1640625" defaultRowHeight="16" x14ac:dyDescent="0.2"/>
  <cols>
    <col min="1" max="1" width="15.83203125" customWidth="1"/>
    <col min="2" max="2" width="14.33203125" bestFit="1" customWidth="1"/>
    <col min="3" max="3" width="11.6640625" bestFit="1" customWidth="1"/>
    <col min="4" max="4" width="14.33203125" customWidth="1"/>
    <col min="5" max="5" width="11.6640625" bestFit="1" customWidth="1"/>
    <col min="6" max="6" width="13.33203125" bestFit="1" customWidth="1"/>
    <col min="8" max="8" width="11.6640625" bestFit="1" customWidth="1"/>
    <col min="10" max="10" width="11.6640625" bestFit="1" customWidth="1"/>
    <col min="12" max="12" width="13.33203125" bestFit="1" customWidth="1"/>
    <col min="13" max="14" width="11.6640625" bestFit="1" customWidth="1"/>
    <col min="17" max="17" width="11.6640625" bestFit="1" customWidth="1"/>
    <col min="18" max="18" width="13" customWidth="1"/>
    <col min="19" max="19" width="11.6640625" bestFit="1" customWidth="1"/>
    <col min="20" max="20" width="12.83203125" customWidth="1"/>
    <col min="21" max="21" width="12.6640625" customWidth="1"/>
    <col min="22" max="22" width="11.6640625" bestFit="1" customWidth="1"/>
    <col min="23" max="23" width="12.83203125" customWidth="1"/>
    <col min="24" max="24" width="11.6640625" bestFit="1" customWidth="1"/>
    <col min="25" max="25" width="13" customWidth="1"/>
    <col min="28" max="28" width="13.5" customWidth="1"/>
    <col min="29" max="29" width="12.6640625" customWidth="1"/>
    <col min="30" max="30" width="13.33203125" bestFit="1" customWidth="1"/>
    <col min="31" max="31" width="11.6640625" bestFit="1" customWidth="1"/>
    <col min="32" max="32" width="14.33203125" bestFit="1" customWidth="1"/>
    <col min="33" max="33" width="14" customWidth="1"/>
    <col min="34" max="34" width="14.33203125" bestFit="1" customWidth="1"/>
  </cols>
  <sheetData>
    <row r="1" spans="1:46"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46"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46" x14ac:dyDescent="0.2">
      <c r="A3" s="3" t="s">
        <v>15</v>
      </c>
      <c r="B3" s="10"/>
      <c r="C3" s="11"/>
      <c r="D3" s="10"/>
      <c r="E3" s="11"/>
      <c r="F3" s="10"/>
      <c r="G3" s="11"/>
      <c r="H3" s="10"/>
      <c r="I3" s="11"/>
      <c r="J3" s="10"/>
      <c r="K3" s="11"/>
      <c r="L3" s="86">
        <v>1539303.44</v>
      </c>
      <c r="M3" s="11">
        <f>4*50160/2+2*44080/2</f>
        <v>144400</v>
      </c>
      <c r="N3" s="10">
        <v>183000</v>
      </c>
      <c r="O3" s="11"/>
      <c r="P3" s="10"/>
      <c r="Q3" s="11"/>
      <c r="R3" s="86">
        <v>658800</v>
      </c>
      <c r="S3" s="79">
        <f>4*50160/2+2*44080/2</f>
        <v>144400</v>
      </c>
      <c r="T3" s="10">
        <v>329400</v>
      </c>
      <c r="U3" s="11"/>
      <c r="V3" s="10"/>
      <c r="W3" s="11"/>
      <c r="X3" s="86">
        <v>170800</v>
      </c>
      <c r="Y3" s="11">
        <f>2*44080/2</f>
        <v>44080</v>
      </c>
      <c r="Z3" s="10">
        <v>85400</v>
      </c>
      <c r="AA3" s="11"/>
      <c r="AB3" s="86">
        <v>709703.44</v>
      </c>
      <c r="AC3" s="11"/>
      <c r="AD3" s="12">
        <f>AB3/2</f>
        <v>354851.72</v>
      </c>
      <c r="AE3" s="13">
        <f>2*44080/2</f>
        <v>44080</v>
      </c>
      <c r="AF3" s="65">
        <f>B3+D3+F3+H3+J3+L3+N3+P3+R3+T3+V3+X3+Z3+AB3+AD3</f>
        <v>4031258.5999999996</v>
      </c>
      <c r="AG3" s="69">
        <f>C3+E3+G3+I3+K3+M3+O3+Q3+S3+U3+W3+Y3+AA3+AC3+AE3</f>
        <v>376960</v>
      </c>
      <c r="AH3" s="64">
        <f>AF3+AG3</f>
        <v>4408218.5999999996</v>
      </c>
      <c r="AJ3" t="s">
        <v>122</v>
      </c>
      <c r="AN3" t="s">
        <v>123</v>
      </c>
    </row>
    <row r="4" spans="1:46" x14ac:dyDescent="0.2">
      <c r="A4" s="3" t="s">
        <v>16</v>
      </c>
      <c r="B4" s="10"/>
      <c r="C4" s="11"/>
      <c r="D4" s="10"/>
      <c r="E4" s="11"/>
      <c r="F4" s="10"/>
      <c r="G4" s="11"/>
      <c r="H4" s="10"/>
      <c r="I4" s="11"/>
      <c r="J4" s="10"/>
      <c r="K4" s="11"/>
      <c r="L4" s="10">
        <f>1.22*200000</f>
        <v>244000</v>
      </c>
      <c r="M4" s="11"/>
      <c r="N4" s="10"/>
      <c r="O4" s="11"/>
      <c r="P4" s="10"/>
      <c r="Q4" s="11"/>
      <c r="R4" s="86"/>
      <c r="S4" s="79"/>
      <c r="T4" s="10"/>
      <c r="U4" s="74"/>
      <c r="V4" s="10"/>
      <c r="W4" s="11">
        <f>50160/12*2</f>
        <v>8360</v>
      </c>
      <c r="X4" s="84"/>
      <c r="Y4" s="11"/>
      <c r="Z4" s="10"/>
      <c r="AA4" s="11"/>
      <c r="AB4" s="10">
        <v>244000</v>
      </c>
      <c r="AC4" s="11"/>
      <c r="AD4" s="12">
        <f t="shared" ref="AD4:AD13" si="0">AB4/2</f>
        <v>122000</v>
      </c>
      <c r="AE4" s="13"/>
      <c r="AF4" s="65">
        <f t="shared" ref="AF4:AF10" si="1">B4+D4+F4+H4+J4+L4+N4+P4+R4+T4+V4+X4+Z4+AB4+AD4</f>
        <v>610000</v>
      </c>
      <c r="AG4" s="69">
        <f t="shared" ref="AF4:AG14" si="2">C4+E4+G4+I4+K4+M4+O4+Q4+S4+U4+W4+Y4+AA4+AC4+AE4</f>
        <v>8360</v>
      </c>
      <c r="AH4" s="64">
        <f t="shared" ref="AH4:AH14" si="3">AF4+AG4</f>
        <v>618360</v>
      </c>
      <c r="AJ4" t="s">
        <v>99</v>
      </c>
    </row>
    <row r="5" spans="1:46" x14ac:dyDescent="0.2">
      <c r="A5" s="3" t="s">
        <v>17</v>
      </c>
      <c r="B5" s="10"/>
      <c r="C5" s="11"/>
      <c r="D5" s="10"/>
      <c r="E5" s="11"/>
      <c r="F5" s="10"/>
      <c r="G5" s="11"/>
      <c r="H5" s="10"/>
      <c r="I5" s="11"/>
      <c r="J5" s="10"/>
      <c r="K5" s="11"/>
      <c r="L5" s="10">
        <v>414800</v>
      </c>
      <c r="M5" s="11"/>
      <c r="N5" s="10"/>
      <c r="O5" s="11"/>
      <c r="P5" s="10"/>
      <c r="Q5" s="11"/>
      <c r="R5" s="86">
        <v>414800</v>
      </c>
      <c r="S5" s="79">
        <v>0</v>
      </c>
      <c r="T5" s="10">
        <v>207400</v>
      </c>
      <c r="U5" s="11"/>
      <c r="V5" s="10"/>
      <c r="W5" s="79">
        <f>50160/2+50160/2</f>
        <v>50160</v>
      </c>
      <c r="X5" s="84"/>
      <c r="Y5" s="11"/>
      <c r="Z5" s="10"/>
      <c r="AA5" s="11"/>
      <c r="AB5" s="10"/>
      <c r="AC5" s="11"/>
      <c r="AD5" s="12"/>
      <c r="AE5" s="13"/>
      <c r="AF5" s="65">
        <f t="shared" si="1"/>
        <v>1037000</v>
      </c>
      <c r="AG5" s="69">
        <f t="shared" si="2"/>
        <v>50160</v>
      </c>
      <c r="AH5" s="64">
        <f t="shared" si="3"/>
        <v>1087160</v>
      </c>
      <c r="AJ5" t="s">
        <v>101</v>
      </c>
      <c r="AM5" t="s">
        <v>104</v>
      </c>
    </row>
    <row r="6" spans="1:46" x14ac:dyDescent="0.2">
      <c r="A6" s="3" t="s">
        <v>18</v>
      </c>
      <c r="B6" s="10"/>
      <c r="C6" s="11"/>
      <c r="D6" s="10"/>
      <c r="E6" s="11"/>
      <c r="F6" s="10"/>
      <c r="G6" s="11"/>
      <c r="H6" s="10"/>
      <c r="I6" s="11"/>
      <c r="J6" s="10"/>
      <c r="K6" s="11"/>
      <c r="L6" s="10">
        <v>190612.8</v>
      </c>
      <c r="M6" s="11"/>
      <c r="N6" s="10"/>
      <c r="O6" s="11"/>
      <c r="P6" s="10"/>
      <c r="Q6" s="11"/>
      <c r="R6" s="86">
        <v>190612.8</v>
      </c>
      <c r="S6" s="79">
        <f>50160/12*2</f>
        <v>8360</v>
      </c>
      <c r="T6" s="10">
        <v>95306.4</v>
      </c>
      <c r="U6" s="11"/>
      <c r="V6" s="10"/>
      <c r="W6" s="11"/>
      <c r="X6" s="84"/>
      <c r="Y6" s="11"/>
      <c r="Z6" s="10"/>
      <c r="AA6" s="11"/>
      <c r="AB6" s="10"/>
      <c r="AC6" s="11"/>
      <c r="AD6" s="12"/>
      <c r="AE6" s="83">
        <f>50160/12</f>
        <v>4180</v>
      </c>
      <c r="AF6" s="65">
        <f t="shared" si="1"/>
        <v>476532</v>
      </c>
      <c r="AG6" s="69">
        <f t="shared" si="2"/>
        <v>12540</v>
      </c>
      <c r="AH6" s="64">
        <f t="shared" si="3"/>
        <v>489072</v>
      </c>
      <c r="AJ6" t="s">
        <v>109</v>
      </c>
    </row>
    <row r="7" spans="1:46" x14ac:dyDescent="0.2">
      <c r="A7" s="3" t="s">
        <v>19</v>
      </c>
      <c r="B7" s="10"/>
      <c r="C7" s="11"/>
      <c r="D7" s="10"/>
      <c r="E7" s="11"/>
      <c r="F7" s="10"/>
      <c r="G7" s="11"/>
      <c r="H7" s="10"/>
      <c r="I7" s="11"/>
      <c r="J7" s="10"/>
      <c r="K7" s="11"/>
      <c r="L7" s="10">
        <v>1464000</v>
      </c>
      <c r="M7" s="11">
        <f>50160/12*4</f>
        <v>16720</v>
      </c>
      <c r="N7" s="10"/>
      <c r="O7" s="11"/>
      <c r="P7" s="10"/>
      <c r="Q7" s="11"/>
      <c r="R7" s="86"/>
      <c r="S7" s="79"/>
      <c r="T7" s="10"/>
      <c r="U7" s="74"/>
      <c r="V7" s="10">
        <f>69999.94+68799.46</f>
        <v>138799.40000000002</v>
      </c>
      <c r="W7" s="11">
        <f>50160/12*2+50160/12*8</f>
        <v>41800</v>
      </c>
      <c r="X7" s="84"/>
      <c r="Y7" s="11"/>
      <c r="Z7" s="10"/>
      <c r="AA7" s="74"/>
      <c r="AB7" s="10">
        <v>1464000</v>
      </c>
      <c r="AC7" s="11">
        <f>50160/12*4</f>
        <v>16720</v>
      </c>
      <c r="AD7" s="12">
        <f t="shared" si="0"/>
        <v>732000</v>
      </c>
      <c r="AE7" s="13">
        <f>50160/2</f>
        <v>25080</v>
      </c>
      <c r="AF7" s="65">
        <f t="shared" si="1"/>
        <v>3798799.4</v>
      </c>
      <c r="AG7" s="69">
        <f t="shared" si="2"/>
        <v>100320</v>
      </c>
      <c r="AH7" s="64">
        <f t="shared" si="3"/>
        <v>3899119.4</v>
      </c>
      <c r="AJ7" t="s">
        <v>112</v>
      </c>
    </row>
    <row r="8" spans="1:46" x14ac:dyDescent="0.2">
      <c r="A8" s="3" t="s">
        <v>20</v>
      </c>
      <c r="B8" s="10"/>
      <c r="C8" s="11"/>
      <c r="D8" s="10"/>
      <c r="E8" s="11"/>
      <c r="F8" s="10"/>
      <c r="G8" s="11"/>
      <c r="H8" s="10"/>
      <c r="I8" s="11"/>
      <c r="J8" s="10"/>
      <c r="K8" s="11"/>
      <c r="L8" s="10">
        <v>76616</v>
      </c>
      <c r="M8" s="11"/>
      <c r="N8" s="10"/>
      <c r="O8" s="11"/>
      <c r="P8" s="10"/>
      <c r="Q8" s="11"/>
      <c r="R8" s="86">
        <v>76616</v>
      </c>
      <c r="S8" s="79">
        <v>0</v>
      </c>
      <c r="T8" s="10">
        <v>38308</v>
      </c>
      <c r="U8" s="11"/>
      <c r="V8" s="10"/>
      <c r="W8" s="11"/>
      <c r="X8" s="84"/>
      <c r="Y8" s="11"/>
      <c r="Z8" s="10"/>
      <c r="AA8" s="11"/>
      <c r="AB8" s="10"/>
      <c r="AC8" s="11"/>
      <c r="AD8" s="12"/>
      <c r="AE8" s="13"/>
      <c r="AF8" s="65">
        <f t="shared" si="1"/>
        <v>191540</v>
      </c>
      <c r="AG8" s="69">
        <f t="shared" si="2"/>
        <v>0</v>
      </c>
      <c r="AH8" s="64">
        <f t="shared" si="3"/>
        <v>191540</v>
      </c>
    </row>
    <row r="9" spans="1:46" x14ac:dyDescent="0.2">
      <c r="A9" s="3" t="s">
        <v>21</v>
      </c>
      <c r="B9" s="10"/>
      <c r="C9" s="11"/>
      <c r="D9" s="10"/>
      <c r="E9" s="11"/>
      <c r="F9" s="10"/>
      <c r="G9" s="11"/>
      <c r="H9" s="10"/>
      <c r="I9" s="11"/>
      <c r="J9" s="10"/>
      <c r="K9" s="11"/>
      <c r="L9" s="10">
        <v>1952000</v>
      </c>
      <c r="M9" s="11"/>
      <c r="N9" s="10"/>
      <c r="O9" s="11"/>
      <c r="P9" s="10"/>
      <c r="Q9" s="11"/>
      <c r="R9" s="86"/>
      <c r="S9" s="79"/>
      <c r="T9" s="10"/>
      <c r="U9" s="11"/>
      <c r="V9" s="10"/>
      <c r="W9" s="11"/>
      <c r="X9" s="84"/>
      <c r="Y9" s="74"/>
      <c r="Z9" s="10"/>
      <c r="AA9" s="11"/>
      <c r="AB9" s="10">
        <v>1952000</v>
      </c>
      <c r="AC9" s="11">
        <f>2*50160/12*3+2*50160/12*4</f>
        <v>58520</v>
      </c>
      <c r="AD9" s="12">
        <f t="shared" si="0"/>
        <v>976000</v>
      </c>
      <c r="AE9" s="13"/>
      <c r="AF9" s="65">
        <f t="shared" si="1"/>
        <v>4880000</v>
      </c>
      <c r="AG9" s="69">
        <f t="shared" si="2"/>
        <v>58520</v>
      </c>
      <c r="AH9" s="64">
        <f t="shared" si="3"/>
        <v>4938520</v>
      </c>
      <c r="AJ9" t="s">
        <v>151</v>
      </c>
      <c r="AM9" t="s">
        <v>152</v>
      </c>
      <c r="AP9" t="s">
        <v>161</v>
      </c>
    </row>
    <row r="10" spans="1:46" x14ac:dyDescent="0.2">
      <c r="A10" s="3" t="s">
        <v>22</v>
      </c>
      <c r="B10" s="10"/>
      <c r="C10" s="11"/>
      <c r="D10" s="10"/>
      <c r="E10" s="11"/>
      <c r="F10" s="10"/>
      <c r="G10" s="11"/>
      <c r="H10" s="10"/>
      <c r="I10" s="11"/>
      <c r="J10" s="10"/>
      <c r="K10" s="11"/>
      <c r="L10" s="10">
        <v>622200</v>
      </c>
      <c r="M10" s="11">
        <f>44080/12*6+44080/12*6+50160/12*4</f>
        <v>60800</v>
      </c>
      <c r="N10" s="10">
        <v>366000</v>
      </c>
      <c r="O10" s="11">
        <f>50160/12*2+50160/12*2</f>
        <v>16720</v>
      </c>
      <c r="P10" s="10"/>
      <c r="Q10" s="74"/>
      <c r="R10" s="86">
        <v>622200</v>
      </c>
      <c r="S10" s="79">
        <f>44080/12*5+50160/12*2</f>
        <v>26726.666666666668</v>
      </c>
      <c r="T10" s="10">
        <v>311100</v>
      </c>
      <c r="U10" s="11">
        <f>50160/12*6+44080/12*6</f>
        <v>47120</v>
      </c>
      <c r="V10" s="10">
        <v>60512</v>
      </c>
      <c r="W10" s="11"/>
      <c r="X10" s="84"/>
      <c r="Y10" s="11">
        <f>44080/12*4+44080/2</f>
        <v>36733.333333333336</v>
      </c>
      <c r="Z10" s="10"/>
      <c r="AA10" s="11"/>
      <c r="AB10" s="10"/>
      <c r="AC10" s="11"/>
      <c r="AD10" s="12">
        <f t="shared" si="0"/>
        <v>0</v>
      </c>
      <c r="AE10" s="13"/>
      <c r="AF10" s="65">
        <f t="shared" si="1"/>
        <v>1982012</v>
      </c>
      <c r="AG10" s="69">
        <f t="shared" si="2"/>
        <v>188100.00000000003</v>
      </c>
      <c r="AH10" s="64">
        <f t="shared" si="3"/>
        <v>2170112</v>
      </c>
      <c r="AJ10" t="s">
        <v>186</v>
      </c>
      <c r="AM10" t="s">
        <v>189</v>
      </c>
      <c r="AP10" t="s">
        <v>198</v>
      </c>
      <c r="AT10" t="s">
        <v>202</v>
      </c>
    </row>
    <row r="11" spans="1:46" x14ac:dyDescent="0.2">
      <c r="A11" s="3" t="s">
        <v>23</v>
      </c>
      <c r="B11" s="10"/>
      <c r="C11" s="11"/>
      <c r="D11" s="10"/>
      <c r="E11" s="11"/>
      <c r="F11" s="10"/>
      <c r="G11" s="11"/>
      <c r="H11" s="10"/>
      <c r="I11" s="11"/>
      <c r="J11" s="10"/>
      <c r="K11" s="11"/>
      <c r="L11" s="10">
        <v>826940.4</v>
      </c>
      <c r="M11" s="11">
        <f>51084/2</f>
        <v>25542</v>
      </c>
      <c r="N11" s="10">
        <v>122000</v>
      </c>
      <c r="O11" s="11"/>
      <c r="P11" s="10"/>
      <c r="Q11" s="11"/>
      <c r="R11" s="86">
        <v>244000</v>
      </c>
      <c r="S11" s="79">
        <f>51084/2+51084/2</f>
        <v>51084</v>
      </c>
      <c r="T11" s="10">
        <v>122000</v>
      </c>
      <c r="U11" s="11"/>
      <c r="V11" s="10"/>
      <c r="W11" s="11"/>
      <c r="X11" s="84"/>
      <c r="Y11" s="11">
        <f>51084/2+51084/2</f>
        <v>51084</v>
      </c>
      <c r="Z11" s="10"/>
      <c r="AA11" s="11"/>
      <c r="AB11" s="10">
        <v>582940.4</v>
      </c>
      <c r="AC11" s="11"/>
      <c r="AD11" s="12">
        <f t="shared" si="0"/>
        <v>291470.2</v>
      </c>
      <c r="AE11" s="13">
        <f>51084/2+51084/2</f>
        <v>51084</v>
      </c>
      <c r="AF11" s="65">
        <f t="shared" si="2"/>
        <v>2189351</v>
      </c>
      <c r="AG11" s="69">
        <f t="shared" si="2"/>
        <v>178794</v>
      </c>
      <c r="AH11" s="64">
        <f t="shared" si="3"/>
        <v>2368145</v>
      </c>
      <c r="AJ11" t="s">
        <v>211</v>
      </c>
      <c r="AM11" t="s">
        <v>213</v>
      </c>
    </row>
    <row r="12" spans="1:46" x14ac:dyDescent="0.2">
      <c r="A12" s="3" t="s">
        <v>24</v>
      </c>
      <c r="B12" s="10"/>
      <c r="C12" s="11"/>
      <c r="D12" s="10"/>
      <c r="E12" s="11"/>
      <c r="F12" s="10"/>
      <c r="G12" s="11"/>
      <c r="H12" s="10"/>
      <c r="I12" s="11"/>
      <c r="J12" s="10"/>
      <c r="K12" s="11"/>
      <c r="L12" s="10">
        <v>1545008</v>
      </c>
      <c r="M12" s="11">
        <f>46500/12*4+46500/12*2+46500/2</f>
        <v>46500</v>
      </c>
      <c r="N12" s="10"/>
      <c r="O12" s="74"/>
      <c r="P12" s="10"/>
      <c r="Q12" s="11"/>
      <c r="R12" s="86"/>
      <c r="S12" s="79"/>
      <c r="T12" s="10"/>
      <c r="U12" s="74"/>
      <c r="V12" s="10"/>
      <c r="W12" s="11">
        <f>46500/12*8+46500/12*8</f>
        <v>62000</v>
      </c>
      <c r="X12" s="84">
        <v>183000</v>
      </c>
      <c r="Y12" s="77">
        <v>0</v>
      </c>
      <c r="Z12" s="10"/>
      <c r="AA12" s="11"/>
      <c r="AB12" s="10">
        <v>1545008</v>
      </c>
      <c r="AC12" s="11"/>
      <c r="AD12" s="12">
        <f t="shared" si="0"/>
        <v>772504</v>
      </c>
      <c r="AE12" s="13"/>
      <c r="AF12" s="65">
        <f t="shared" si="2"/>
        <v>4045520</v>
      </c>
      <c r="AG12" s="69">
        <f t="shared" si="2"/>
        <v>108500</v>
      </c>
      <c r="AH12" s="64">
        <f t="shared" si="3"/>
        <v>4154020</v>
      </c>
      <c r="AJ12" t="s">
        <v>443</v>
      </c>
      <c r="AM12" t="s">
        <v>220</v>
      </c>
      <c r="AP12" t="s">
        <v>223</v>
      </c>
    </row>
    <row r="13" spans="1:46" ht="17" thickBot="1" x14ac:dyDescent="0.25">
      <c r="A13" s="4" t="s">
        <v>25</v>
      </c>
      <c r="B13" s="14"/>
      <c r="C13" s="15"/>
      <c r="D13" s="14"/>
      <c r="E13" s="15"/>
      <c r="F13" s="14"/>
      <c r="G13" s="15"/>
      <c r="H13" s="14"/>
      <c r="I13" s="15"/>
      <c r="J13" s="14"/>
      <c r="K13" s="15">
        <f>46500/12*2.4</f>
        <v>9300</v>
      </c>
      <c r="L13" s="14">
        <v>107360</v>
      </c>
      <c r="M13" s="15">
        <f>46500/2</f>
        <v>23250</v>
      </c>
      <c r="N13" s="14">
        <v>158600</v>
      </c>
      <c r="O13" s="15"/>
      <c r="P13" s="14"/>
      <c r="Q13" s="15"/>
      <c r="R13" s="87"/>
      <c r="S13" s="80"/>
      <c r="T13" s="14"/>
      <c r="U13" s="15"/>
      <c r="V13" s="14">
        <v>122000</v>
      </c>
      <c r="W13" s="15">
        <f>46500/12*10</f>
        <v>38750</v>
      </c>
      <c r="X13" s="85">
        <v>68200</v>
      </c>
      <c r="Y13" s="78">
        <f>46500/12*2</f>
        <v>7750</v>
      </c>
      <c r="Z13" s="14"/>
      <c r="AA13" s="15"/>
      <c r="AB13" s="14">
        <v>107360</v>
      </c>
      <c r="AC13" s="15">
        <f>46500/12*9.6</f>
        <v>37200</v>
      </c>
      <c r="AD13" s="16">
        <f t="shared" si="0"/>
        <v>53680</v>
      </c>
      <c r="AE13" s="17">
        <f>46500/2</f>
        <v>23250</v>
      </c>
      <c r="AF13" s="66">
        <f t="shared" si="2"/>
        <v>617200</v>
      </c>
      <c r="AG13" s="70">
        <f t="shared" si="2"/>
        <v>139500</v>
      </c>
      <c r="AH13" s="70">
        <f t="shared" si="3"/>
        <v>756700</v>
      </c>
      <c r="AJ13" t="s">
        <v>225</v>
      </c>
      <c r="AN13" t="s">
        <v>227</v>
      </c>
    </row>
    <row r="14" spans="1:46" ht="17" thickBot="1" x14ac:dyDescent="0.25">
      <c r="A14" s="5" t="s">
        <v>26</v>
      </c>
      <c r="B14" s="18">
        <f>SUM(B3:B13)</f>
        <v>0</v>
      </c>
      <c r="C14" s="19">
        <f t="shared" ref="C14:K14" si="4">SUM(C3:C13)</f>
        <v>0</v>
      </c>
      <c r="D14" s="18">
        <f t="shared" si="4"/>
        <v>0</v>
      </c>
      <c r="E14" s="19">
        <f t="shared" si="4"/>
        <v>0</v>
      </c>
      <c r="F14" s="18">
        <f t="shared" si="4"/>
        <v>0</v>
      </c>
      <c r="G14" s="19">
        <f t="shared" si="4"/>
        <v>0</v>
      </c>
      <c r="H14" s="18">
        <f t="shared" si="4"/>
        <v>0</v>
      </c>
      <c r="I14" s="19">
        <f t="shared" si="4"/>
        <v>0</v>
      </c>
      <c r="J14" s="18">
        <f t="shared" si="4"/>
        <v>0</v>
      </c>
      <c r="K14" s="19">
        <f t="shared" si="4"/>
        <v>9300</v>
      </c>
      <c r="L14" s="18">
        <f>SUM(L3:L13)</f>
        <v>8982840.6400000006</v>
      </c>
      <c r="M14" s="19">
        <f>SUM(M3:M13)</f>
        <v>317212</v>
      </c>
      <c r="N14" s="18">
        <f t="shared" ref="N14:Z14" si="5">SUM(N3:N13)</f>
        <v>829600</v>
      </c>
      <c r="O14" s="19">
        <f t="shared" si="5"/>
        <v>16720</v>
      </c>
      <c r="P14" s="18">
        <f t="shared" si="5"/>
        <v>0</v>
      </c>
      <c r="Q14" s="19">
        <f t="shared" si="5"/>
        <v>0</v>
      </c>
      <c r="R14" s="88">
        <f t="shared" si="5"/>
        <v>2207028.7999999998</v>
      </c>
      <c r="S14" s="89">
        <f t="shared" si="5"/>
        <v>230570.66666666666</v>
      </c>
      <c r="T14" s="18">
        <f t="shared" si="5"/>
        <v>1103514.3999999999</v>
      </c>
      <c r="U14" s="19">
        <f t="shared" si="5"/>
        <v>47120</v>
      </c>
      <c r="V14" s="18">
        <f t="shared" si="5"/>
        <v>321311.40000000002</v>
      </c>
      <c r="W14" s="19">
        <f t="shared" si="5"/>
        <v>201070</v>
      </c>
      <c r="X14" s="18">
        <f t="shared" si="5"/>
        <v>422000</v>
      </c>
      <c r="Y14" s="91">
        <f t="shared" si="5"/>
        <v>139647.33333333334</v>
      </c>
      <c r="Z14" s="18">
        <f t="shared" si="5"/>
        <v>85400</v>
      </c>
      <c r="AA14" s="19">
        <f t="shared" ref="AA14" si="6">SUM(AA3:AA13)</f>
        <v>0</v>
      </c>
      <c r="AB14" s="18">
        <f>SUM(AB3:AB13)</f>
        <v>6605011.8399999999</v>
      </c>
      <c r="AC14" s="19">
        <f t="shared" ref="AC14" si="7">SUM(AC3:AC13)</f>
        <v>112440</v>
      </c>
      <c r="AD14" s="20">
        <f t="shared" ref="AD14" si="8">SUM(AD3:AD13)</f>
        <v>3302505.92</v>
      </c>
      <c r="AE14" s="21">
        <f t="shared" ref="AE14" si="9">SUM(AE3:AE13)</f>
        <v>147674</v>
      </c>
      <c r="AF14" s="67">
        <f t="shared" si="2"/>
        <v>23859213</v>
      </c>
      <c r="AG14" s="71">
        <f t="shared" si="2"/>
        <v>1221754</v>
      </c>
      <c r="AH14" s="71">
        <f t="shared" si="3"/>
        <v>25080967</v>
      </c>
    </row>
    <row r="15" spans="1:46" ht="17" thickBot="1" x14ac:dyDescent="0.25">
      <c r="A15" s="6" t="s">
        <v>29</v>
      </c>
      <c r="B15" s="123">
        <f>B14+C14</f>
        <v>0</v>
      </c>
      <c r="C15" s="124"/>
      <c r="D15" s="123">
        <f>D14+E14</f>
        <v>0</v>
      </c>
      <c r="E15" s="124"/>
      <c r="F15" s="123">
        <f>F14+G14</f>
        <v>0</v>
      </c>
      <c r="G15" s="124"/>
      <c r="H15" s="123">
        <f>H14+I14</f>
        <v>0</v>
      </c>
      <c r="I15" s="124"/>
      <c r="J15" s="123">
        <f>J14+K14</f>
        <v>9300</v>
      </c>
      <c r="K15" s="124"/>
      <c r="L15" s="123">
        <f>L14+M14</f>
        <v>9300052.6400000006</v>
      </c>
      <c r="M15" s="124"/>
      <c r="N15" s="123">
        <f>N14+O14</f>
        <v>846320</v>
      </c>
      <c r="O15" s="124"/>
      <c r="P15" s="123">
        <f>P14+Q14</f>
        <v>0</v>
      </c>
      <c r="Q15" s="124"/>
      <c r="R15" s="135">
        <f>R14+S14</f>
        <v>2437599.4666666663</v>
      </c>
      <c r="S15" s="136"/>
      <c r="T15" s="123">
        <f>T14+U14</f>
        <v>1150634.3999999999</v>
      </c>
      <c r="U15" s="124"/>
      <c r="V15" s="123">
        <f>V14+W14</f>
        <v>522381.4</v>
      </c>
      <c r="W15" s="124"/>
      <c r="X15" s="92">
        <f>X3+Y3+Y10+Y11</f>
        <v>302697.33333333337</v>
      </c>
      <c r="Y15" s="93">
        <f>X12+Y12+X13+Y13</f>
        <v>258950</v>
      </c>
      <c r="Z15" s="123">
        <f>Z14+AA14</f>
        <v>85400</v>
      </c>
      <c r="AA15" s="124"/>
      <c r="AB15" s="123">
        <f>AB14+AC14</f>
        <v>6717451.8399999999</v>
      </c>
      <c r="AC15" s="124"/>
      <c r="AD15" s="92">
        <f>AD3+AE3+AD4+AD7+AE7+AD9+AD11+AE11+AD12+AD13+AE13</f>
        <v>3445999.92</v>
      </c>
      <c r="AE15" s="94">
        <f>AE6</f>
        <v>4180</v>
      </c>
      <c r="AF15" s="134">
        <f>AF14+AG14</f>
        <v>25080967</v>
      </c>
      <c r="AG15" s="118"/>
      <c r="AH15" s="72">
        <f t="shared" ref="AH15" si="10">SUM(B15:AE15)</f>
        <v>25080967</v>
      </c>
    </row>
    <row r="16" spans="1:46" ht="17" thickBot="1" x14ac:dyDescent="0.25">
      <c r="A16" s="6" t="s">
        <v>254</v>
      </c>
      <c r="B16" s="123">
        <f>1.07*B15</f>
        <v>0</v>
      </c>
      <c r="C16" s="124"/>
      <c r="D16" s="123">
        <f t="shared" ref="D16" si="11">1.07*D15</f>
        <v>0</v>
      </c>
      <c r="E16" s="124"/>
      <c r="F16" s="123">
        <f t="shared" ref="F16" si="12">1.07*F15</f>
        <v>0</v>
      </c>
      <c r="G16" s="124"/>
      <c r="H16" s="123">
        <f t="shared" ref="H16" si="13">1.07*H15</f>
        <v>0</v>
      </c>
      <c r="I16" s="124"/>
      <c r="J16" s="123">
        <f t="shared" ref="J16" si="14">1.07*J15</f>
        <v>9951</v>
      </c>
      <c r="K16" s="124"/>
      <c r="L16" s="123">
        <f t="shared" ref="L16" si="15">1.07*L15</f>
        <v>9951056.3248000015</v>
      </c>
      <c r="M16" s="124"/>
      <c r="N16" s="123">
        <f t="shared" ref="N16" si="16">1.07*N15</f>
        <v>905562.4</v>
      </c>
      <c r="O16" s="124"/>
      <c r="P16" s="123">
        <f t="shared" ref="P16" si="17">1.07*P15</f>
        <v>0</v>
      </c>
      <c r="Q16" s="124"/>
      <c r="R16" s="135">
        <f t="shared" ref="R16" si="18">1.07*R15</f>
        <v>2608231.4293333329</v>
      </c>
      <c r="S16" s="136"/>
      <c r="T16" s="123">
        <f t="shared" ref="T16" si="19">1.07*T15</f>
        <v>1231178.808</v>
      </c>
      <c r="U16" s="124"/>
      <c r="V16" s="123">
        <f t="shared" ref="V16" si="20">1.07*V15</f>
        <v>558948.09800000011</v>
      </c>
      <c r="W16" s="124"/>
      <c r="X16" s="92">
        <f t="shared" ref="X16:Y16" si="21">1.07*X15</f>
        <v>323886.14666666673</v>
      </c>
      <c r="Y16" s="93">
        <f t="shared" si="21"/>
        <v>277076.5</v>
      </c>
      <c r="Z16" s="123">
        <f t="shared" ref="Z16" si="22">1.07*Z15</f>
        <v>91378</v>
      </c>
      <c r="AA16" s="124"/>
      <c r="AB16" s="123">
        <f t="shared" ref="AB16" si="23">1.07*AB15</f>
        <v>7187673.4687999999</v>
      </c>
      <c r="AC16" s="124"/>
      <c r="AD16" s="92">
        <f t="shared" ref="AD16:AE16" si="24">1.07*AD15</f>
        <v>3687219.9144000001</v>
      </c>
      <c r="AE16" s="94">
        <f t="shared" si="24"/>
        <v>4472.6000000000004</v>
      </c>
      <c r="AF16" s="117">
        <f t="shared" ref="AF16" si="25">1.07*AF15</f>
        <v>26836634.690000001</v>
      </c>
      <c r="AG16" s="118"/>
      <c r="AH16" s="72">
        <f t="shared" ref="AH16" si="26">1.07*AH15</f>
        <v>26836634.690000001</v>
      </c>
    </row>
    <row r="17" spans="1:31" x14ac:dyDescent="0.2">
      <c r="R17" s="90"/>
      <c r="S17" s="90"/>
      <c r="X17" s="47"/>
      <c r="AD17" s="47"/>
    </row>
    <row r="18" spans="1:31" ht="17" thickBot="1" x14ac:dyDescent="0.25">
      <c r="R18" s="90"/>
      <c r="S18" s="90"/>
    </row>
    <row r="19" spans="1:31" x14ac:dyDescent="0.2">
      <c r="A19" s="51" t="s">
        <v>33</v>
      </c>
      <c r="B19" s="125"/>
      <c r="C19" s="126"/>
      <c r="D19" s="125"/>
      <c r="E19" s="126"/>
      <c r="F19" s="125"/>
      <c r="G19" s="126"/>
      <c r="H19" s="125"/>
      <c r="I19" s="126"/>
      <c r="J19" s="125" t="s">
        <v>241</v>
      </c>
      <c r="K19" s="126"/>
      <c r="L19" s="125" t="s">
        <v>242</v>
      </c>
      <c r="M19" s="126"/>
      <c r="N19" s="125" t="s">
        <v>243</v>
      </c>
      <c r="O19" s="126"/>
      <c r="P19" s="125"/>
      <c r="Q19" s="126"/>
      <c r="R19" s="137" t="s">
        <v>244</v>
      </c>
      <c r="S19" s="138"/>
      <c r="T19" s="125" t="s">
        <v>245</v>
      </c>
      <c r="U19" s="126"/>
      <c r="V19" s="125" t="s">
        <v>246</v>
      </c>
      <c r="W19" s="126"/>
      <c r="X19" s="97" t="s">
        <v>247</v>
      </c>
      <c r="Y19" s="81" t="s">
        <v>248</v>
      </c>
      <c r="Z19" s="125" t="s">
        <v>249</v>
      </c>
      <c r="AA19" s="126"/>
      <c r="AB19" s="125" t="s">
        <v>250</v>
      </c>
      <c r="AC19" s="126"/>
      <c r="AD19" s="97" t="s">
        <v>252</v>
      </c>
      <c r="AE19" s="82" t="s">
        <v>253</v>
      </c>
    </row>
    <row r="20" spans="1:31" ht="17" thickBot="1" x14ac:dyDescent="0.25">
      <c r="A20" s="52" t="s">
        <v>35</v>
      </c>
      <c r="B20" s="104"/>
      <c r="C20" s="105"/>
      <c r="D20" s="106"/>
      <c r="E20" s="107"/>
      <c r="F20" s="104"/>
      <c r="G20" s="107"/>
      <c r="H20" s="104"/>
      <c r="I20" s="107"/>
      <c r="J20" s="114" t="s">
        <v>446</v>
      </c>
      <c r="K20" s="115"/>
      <c r="L20" s="114" t="s">
        <v>447</v>
      </c>
      <c r="M20" s="115"/>
      <c r="N20" s="114" t="s">
        <v>448</v>
      </c>
      <c r="O20" s="115"/>
      <c r="P20" s="104"/>
      <c r="Q20" s="107"/>
      <c r="R20" s="114" t="s">
        <v>449</v>
      </c>
      <c r="S20" s="115"/>
      <c r="T20" s="114" t="s">
        <v>450</v>
      </c>
      <c r="U20" s="115"/>
      <c r="V20" s="114" t="s">
        <v>451</v>
      </c>
      <c r="W20" s="115"/>
      <c r="X20" s="106" t="s">
        <v>452</v>
      </c>
      <c r="Y20" s="111" t="s">
        <v>453</v>
      </c>
      <c r="Z20" s="114" t="s">
        <v>454</v>
      </c>
      <c r="AA20" s="115"/>
      <c r="AB20" s="114" t="s">
        <v>455</v>
      </c>
      <c r="AC20" s="115"/>
      <c r="AD20" s="104" t="s">
        <v>456</v>
      </c>
      <c r="AE20" s="110" t="s">
        <v>457</v>
      </c>
    </row>
    <row r="24" spans="1:31" x14ac:dyDescent="0.2">
      <c r="A24" s="60" t="s">
        <v>241</v>
      </c>
      <c r="B24" t="s">
        <v>278</v>
      </c>
    </row>
    <row r="25" spans="1:31" x14ac:dyDescent="0.2">
      <c r="A25" s="60"/>
      <c r="B25" s="73" t="s">
        <v>281</v>
      </c>
      <c r="C25" t="s">
        <v>282</v>
      </c>
    </row>
    <row r="26" spans="1:31" x14ac:dyDescent="0.2">
      <c r="A26" s="60"/>
      <c r="B26" s="60" t="s">
        <v>34</v>
      </c>
      <c r="C26" t="s">
        <v>280</v>
      </c>
    </row>
    <row r="27" spans="1:31" x14ac:dyDescent="0.2">
      <c r="A27" s="60"/>
      <c r="C27" s="60" t="s">
        <v>446</v>
      </c>
      <c r="D27" t="s">
        <v>279</v>
      </c>
    </row>
    <row r="28" spans="1:31" x14ac:dyDescent="0.2">
      <c r="A28" s="60"/>
    </row>
    <row r="29" spans="1:31" x14ac:dyDescent="0.2">
      <c r="A29" s="60" t="s">
        <v>242</v>
      </c>
      <c r="B29" t="s">
        <v>285</v>
      </c>
    </row>
    <row r="30" spans="1:31" x14ac:dyDescent="0.2">
      <c r="A30" s="60"/>
      <c r="B30" s="73" t="s">
        <v>281</v>
      </c>
      <c r="C30" t="s">
        <v>294</v>
      </c>
    </row>
    <row r="31" spans="1:31" x14ac:dyDescent="0.2">
      <c r="A31" s="60"/>
      <c r="B31" s="60" t="s">
        <v>34</v>
      </c>
      <c r="C31" t="s">
        <v>283</v>
      </c>
    </row>
    <row r="32" spans="1:31" x14ac:dyDescent="0.2">
      <c r="A32" s="60"/>
      <c r="B32" s="60" t="s">
        <v>34</v>
      </c>
      <c r="C32" t="s">
        <v>444</v>
      </c>
    </row>
    <row r="33" spans="1:4" x14ac:dyDescent="0.2">
      <c r="A33" s="60"/>
      <c r="B33" s="60" t="s">
        <v>34</v>
      </c>
      <c r="C33" t="s">
        <v>284</v>
      </c>
    </row>
    <row r="34" spans="1:4" x14ac:dyDescent="0.2">
      <c r="A34" s="60"/>
      <c r="C34" s="60" t="s">
        <v>447</v>
      </c>
      <c r="D34" t="s">
        <v>286</v>
      </c>
    </row>
    <row r="35" spans="1:4" x14ac:dyDescent="0.2">
      <c r="A35" s="60"/>
      <c r="C35" s="60"/>
    </row>
    <row r="36" spans="1:4" x14ac:dyDescent="0.2">
      <c r="A36" s="60" t="s">
        <v>243</v>
      </c>
      <c r="B36" t="s">
        <v>308</v>
      </c>
    </row>
    <row r="37" spans="1:4" x14ac:dyDescent="0.2">
      <c r="A37" s="60"/>
      <c r="B37" s="73" t="s">
        <v>281</v>
      </c>
      <c r="C37" t="s">
        <v>309</v>
      </c>
    </row>
    <row r="38" spans="1:4" x14ac:dyDescent="0.2">
      <c r="A38" s="60"/>
      <c r="B38" s="60" t="s">
        <v>34</v>
      </c>
      <c r="C38" t="s">
        <v>445</v>
      </c>
    </row>
    <row r="39" spans="1:4" x14ac:dyDescent="0.2">
      <c r="A39" s="60"/>
      <c r="B39" s="60" t="s">
        <v>34</v>
      </c>
      <c r="C39" t="s">
        <v>297</v>
      </c>
    </row>
    <row r="40" spans="1:4" x14ac:dyDescent="0.2">
      <c r="A40" s="60"/>
      <c r="B40" s="60" t="s">
        <v>34</v>
      </c>
      <c r="C40" t="s">
        <v>298</v>
      </c>
    </row>
    <row r="41" spans="1:4" x14ac:dyDescent="0.2">
      <c r="A41" s="60"/>
      <c r="B41" s="60" t="s">
        <v>34</v>
      </c>
      <c r="C41" t="s">
        <v>299</v>
      </c>
    </row>
    <row r="42" spans="1:4" x14ac:dyDescent="0.2">
      <c r="A42" s="60"/>
      <c r="C42" s="60" t="s">
        <v>448</v>
      </c>
      <c r="D42" t="s">
        <v>310</v>
      </c>
    </row>
    <row r="43" spans="1:4" x14ac:dyDescent="0.2">
      <c r="A43" s="60"/>
      <c r="C43" s="60"/>
    </row>
    <row r="44" spans="1:4" x14ac:dyDescent="0.2">
      <c r="A44" s="60" t="s">
        <v>244</v>
      </c>
      <c r="B44" t="s">
        <v>287</v>
      </c>
    </row>
    <row r="45" spans="1:4" x14ac:dyDescent="0.2">
      <c r="A45" s="60"/>
      <c r="B45" s="73" t="s">
        <v>281</v>
      </c>
      <c r="C45" t="s">
        <v>288</v>
      </c>
    </row>
    <row r="46" spans="1:4" x14ac:dyDescent="0.2">
      <c r="A46" s="60"/>
      <c r="B46" s="60" t="s">
        <v>34</v>
      </c>
      <c r="C46" t="s">
        <v>289</v>
      </c>
    </row>
    <row r="47" spans="1:4" x14ac:dyDescent="0.2">
      <c r="A47" s="60"/>
      <c r="C47" s="60" t="s">
        <v>449</v>
      </c>
      <c r="D47" t="s">
        <v>290</v>
      </c>
    </row>
    <row r="48" spans="1:4" x14ac:dyDescent="0.2">
      <c r="A48" s="60"/>
      <c r="C48" s="60"/>
    </row>
    <row r="49" spans="1:4" x14ac:dyDescent="0.2">
      <c r="A49" s="60" t="s">
        <v>245</v>
      </c>
      <c r="B49" t="s">
        <v>314</v>
      </c>
    </row>
    <row r="50" spans="1:4" x14ac:dyDescent="0.2">
      <c r="A50" s="60"/>
      <c r="B50" s="73" t="s">
        <v>281</v>
      </c>
      <c r="C50" t="s">
        <v>315</v>
      </c>
    </row>
    <row r="51" spans="1:4" x14ac:dyDescent="0.2">
      <c r="A51" s="60"/>
      <c r="B51" s="60" t="s">
        <v>34</v>
      </c>
      <c r="C51" t="s">
        <v>304</v>
      </c>
    </row>
    <row r="52" spans="1:4" x14ac:dyDescent="0.2">
      <c r="A52" s="60"/>
      <c r="C52" s="60" t="s">
        <v>450</v>
      </c>
      <c r="D52" t="s">
        <v>319</v>
      </c>
    </row>
    <row r="53" spans="1:4" x14ac:dyDescent="0.2">
      <c r="A53" s="60"/>
      <c r="C53" s="60"/>
    </row>
    <row r="54" spans="1:4" x14ac:dyDescent="0.2">
      <c r="A54" s="60" t="s">
        <v>246</v>
      </c>
      <c r="B54" t="s">
        <v>320</v>
      </c>
    </row>
    <row r="55" spans="1:4" x14ac:dyDescent="0.2">
      <c r="A55" s="60"/>
      <c r="B55" s="73" t="s">
        <v>281</v>
      </c>
      <c r="C55" t="s">
        <v>458</v>
      </c>
    </row>
    <row r="56" spans="1:4" x14ac:dyDescent="0.2">
      <c r="A56" s="60"/>
      <c r="B56" s="60" t="s">
        <v>34</v>
      </c>
      <c r="C56" t="s">
        <v>321</v>
      </c>
    </row>
    <row r="57" spans="1:4" x14ac:dyDescent="0.2">
      <c r="A57" s="60"/>
      <c r="C57" s="60" t="s">
        <v>451</v>
      </c>
      <c r="D57" t="s">
        <v>322</v>
      </c>
    </row>
    <row r="59" spans="1:4" x14ac:dyDescent="0.2">
      <c r="A59" s="60" t="s">
        <v>247</v>
      </c>
      <c r="B59" t="s">
        <v>292</v>
      </c>
    </row>
    <row r="60" spans="1:4" x14ac:dyDescent="0.2">
      <c r="A60" s="60"/>
      <c r="B60" s="73" t="s">
        <v>281</v>
      </c>
      <c r="C60" t="s">
        <v>291</v>
      </c>
    </row>
    <row r="61" spans="1:4" x14ac:dyDescent="0.2">
      <c r="A61" s="60"/>
      <c r="B61" s="60" t="s">
        <v>34</v>
      </c>
      <c r="C61" t="s">
        <v>289</v>
      </c>
    </row>
    <row r="62" spans="1:4" x14ac:dyDescent="0.2">
      <c r="A62" s="60"/>
      <c r="C62" s="60" t="s">
        <v>452</v>
      </c>
      <c r="D62" t="s">
        <v>296</v>
      </c>
    </row>
    <row r="63" spans="1:4" x14ac:dyDescent="0.2">
      <c r="A63" s="60"/>
      <c r="C63" s="60"/>
    </row>
    <row r="64" spans="1:4" x14ac:dyDescent="0.2">
      <c r="A64" s="60" t="s">
        <v>248</v>
      </c>
      <c r="B64" t="s">
        <v>293</v>
      </c>
    </row>
    <row r="65" spans="1:4" x14ac:dyDescent="0.2">
      <c r="A65" s="60"/>
      <c r="B65" s="73" t="s">
        <v>281</v>
      </c>
      <c r="C65" t="s">
        <v>295</v>
      </c>
    </row>
    <row r="66" spans="1:4" x14ac:dyDescent="0.2">
      <c r="A66" s="60"/>
      <c r="B66" s="60" t="s">
        <v>34</v>
      </c>
      <c r="C66" t="s">
        <v>445</v>
      </c>
    </row>
    <row r="67" spans="1:4" x14ac:dyDescent="0.2">
      <c r="A67" s="60"/>
      <c r="B67" s="60" t="s">
        <v>34</v>
      </c>
      <c r="C67" t="s">
        <v>297</v>
      </c>
    </row>
    <row r="68" spans="1:4" x14ac:dyDescent="0.2">
      <c r="A68" s="60"/>
      <c r="B68" s="60" t="s">
        <v>34</v>
      </c>
      <c r="C68" t="s">
        <v>298</v>
      </c>
    </row>
    <row r="69" spans="1:4" x14ac:dyDescent="0.2">
      <c r="A69" s="60"/>
      <c r="B69" s="60" t="s">
        <v>34</v>
      </c>
      <c r="C69" t="s">
        <v>299</v>
      </c>
    </row>
    <row r="70" spans="1:4" x14ac:dyDescent="0.2">
      <c r="A70" s="60"/>
      <c r="C70" s="60" t="s">
        <v>453</v>
      </c>
      <c r="D70" t="s">
        <v>300</v>
      </c>
    </row>
    <row r="71" spans="1:4" x14ac:dyDescent="0.2">
      <c r="A71" s="60"/>
      <c r="C71" s="60"/>
    </row>
    <row r="72" spans="1:4" x14ac:dyDescent="0.2">
      <c r="A72" s="60" t="s">
        <v>249</v>
      </c>
      <c r="B72" t="s">
        <v>316</v>
      </c>
    </row>
    <row r="73" spans="1:4" x14ac:dyDescent="0.2">
      <c r="A73" s="60"/>
      <c r="B73" s="73" t="s">
        <v>281</v>
      </c>
      <c r="C73" t="s">
        <v>317</v>
      </c>
    </row>
    <row r="74" spans="1:4" x14ac:dyDescent="0.2">
      <c r="A74" s="60"/>
      <c r="B74" s="60" t="s">
        <v>34</v>
      </c>
      <c r="C74" t="s">
        <v>304</v>
      </c>
    </row>
    <row r="75" spans="1:4" x14ac:dyDescent="0.2">
      <c r="A75" s="60"/>
      <c r="C75" s="60" t="s">
        <v>454</v>
      </c>
      <c r="D75" t="s">
        <v>318</v>
      </c>
    </row>
    <row r="76" spans="1:4" x14ac:dyDescent="0.2">
      <c r="A76" s="60"/>
      <c r="C76" s="60"/>
    </row>
    <row r="77" spans="1:4" x14ac:dyDescent="0.2">
      <c r="A77" s="60" t="s">
        <v>250</v>
      </c>
      <c r="B77" t="s">
        <v>301</v>
      </c>
    </row>
    <row r="78" spans="1:4" x14ac:dyDescent="0.2">
      <c r="A78" s="60"/>
      <c r="B78" s="73" t="s">
        <v>281</v>
      </c>
      <c r="C78" t="s">
        <v>302</v>
      </c>
    </row>
    <row r="79" spans="1:4" x14ac:dyDescent="0.2">
      <c r="A79" s="60"/>
      <c r="B79" s="60" t="s">
        <v>34</v>
      </c>
      <c r="C79" t="s">
        <v>289</v>
      </c>
    </row>
    <row r="80" spans="1:4" x14ac:dyDescent="0.2">
      <c r="A80" s="60"/>
      <c r="C80" s="60" t="s">
        <v>455</v>
      </c>
      <c r="D80" t="s">
        <v>303</v>
      </c>
    </row>
    <row r="81" spans="1:4" x14ac:dyDescent="0.2">
      <c r="A81" s="60"/>
      <c r="C81" s="60"/>
    </row>
    <row r="82" spans="1:4" x14ac:dyDescent="0.2">
      <c r="A82" s="60" t="s">
        <v>252</v>
      </c>
      <c r="B82" t="s">
        <v>305</v>
      </c>
    </row>
    <row r="83" spans="1:4" x14ac:dyDescent="0.2">
      <c r="A83" s="60"/>
      <c r="B83" s="73" t="s">
        <v>281</v>
      </c>
      <c r="C83" t="s">
        <v>306</v>
      </c>
    </row>
    <row r="84" spans="1:4" x14ac:dyDescent="0.2">
      <c r="A84" s="60"/>
      <c r="B84" s="60" t="s">
        <v>34</v>
      </c>
      <c r="C84" t="s">
        <v>304</v>
      </c>
    </row>
    <row r="85" spans="1:4" x14ac:dyDescent="0.2">
      <c r="A85" s="60"/>
      <c r="C85" s="60" t="s">
        <v>456</v>
      </c>
      <c r="D85" t="s">
        <v>307</v>
      </c>
    </row>
    <row r="86" spans="1:4" x14ac:dyDescent="0.2">
      <c r="A86" s="60"/>
      <c r="C86" s="60"/>
    </row>
    <row r="87" spans="1:4" x14ac:dyDescent="0.2">
      <c r="A87" s="60" t="s">
        <v>253</v>
      </c>
      <c r="B87" t="s">
        <v>251</v>
      </c>
    </row>
    <row r="88" spans="1:4" x14ac:dyDescent="0.2">
      <c r="A88" s="60"/>
      <c r="B88" s="73" t="s">
        <v>281</v>
      </c>
      <c r="C88" t="s">
        <v>312</v>
      </c>
    </row>
    <row r="89" spans="1:4" x14ac:dyDescent="0.2">
      <c r="A89" s="60"/>
      <c r="B89" s="60" t="s">
        <v>34</v>
      </c>
      <c r="C89" t="s">
        <v>313</v>
      </c>
    </row>
    <row r="90" spans="1:4" x14ac:dyDescent="0.2">
      <c r="A90" s="60"/>
      <c r="C90" s="60" t="s">
        <v>457</v>
      </c>
      <c r="D90" t="s">
        <v>311</v>
      </c>
    </row>
    <row r="91" spans="1:4" x14ac:dyDescent="0.2">
      <c r="A91" s="60"/>
      <c r="C91" s="60"/>
    </row>
  </sheetData>
  <sheetProtection algorithmName="SHA-512" hashValue="TVg0JdpvrbMXkE0eR0vFdVBA9+ldAxgrIOFS1+KCUtiu0jBUROaYePPPPSpqcTQb1rGYGMtXlC2LUdEKnDqDdg==" saltValue="T9KMkcpe6ntMJmWQ3z7JNw==" spinCount="100000" sheet="1" objects="1" scenarios="1"/>
  <mergeCells count="66">
    <mergeCell ref="X1:Y1"/>
    <mergeCell ref="L1:M1"/>
    <mergeCell ref="B1:C1"/>
    <mergeCell ref="D1:E1"/>
    <mergeCell ref="F1:G1"/>
    <mergeCell ref="H1:I1"/>
    <mergeCell ref="J1:K1"/>
    <mergeCell ref="Z15:AA15"/>
    <mergeCell ref="Z1:AA1"/>
    <mergeCell ref="AB1:AC1"/>
    <mergeCell ref="AD1:AE1"/>
    <mergeCell ref="B15:C15"/>
    <mergeCell ref="D15:E15"/>
    <mergeCell ref="F15:G15"/>
    <mergeCell ref="H15:I15"/>
    <mergeCell ref="J15:K15"/>
    <mergeCell ref="L15:M15"/>
    <mergeCell ref="N15:O15"/>
    <mergeCell ref="N1:O1"/>
    <mergeCell ref="P1:Q1"/>
    <mergeCell ref="R1:S1"/>
    <mergeCell ref="T1:U1"/>
    <mergeCell ref="V1:W1"/>
    <mergeCell ref="P15:Q15"/>
    <mergeCell ref="R15:S15"/>
    <mergeCell ref="T15:U15"/>
    <mergeCell ref="V15:W15"/>
    <mergeCell ref="B19:C19"/>
    <mergeCell ref="D19:E19"/>
    <mergeCell ref="F19:G19"/>
    <mergeCell ref="H19:I19"/>
    <mergeCell ref="J19:K19"/>
    <mergeCell ref="V16:W16"/>
    <mergeCell ref="B16:C16"/>
    <mergeCell ref="D16:E16"/>
    <mergeCell ref="F16:G16"/>
    <mergeCell ref="H16:I16"/>
    <mergeCell ref="J16:K16"/>
    <mergeCell ref="AB19:AC19"/>
    <mergeCell ref="L19:M19"/>
    <mergeCell ref="N19:O19"/>
    <mergeCell ref="P19:Q19"/>
    <mergeCell ref="R19:S19"/>
    <mergeCell ref="T19:U19"/>
    <mergeCell ref="Z16:AA16"/>
    <mergeCell ref="V19:W19"/>
    <mergeCell ref="Z19:AA19"/>
    <mergeCell ref="L16:M16"/>
    <mergeCell ref="N16:O16"/>
    <mergeCell ref="P16:Q16"/>
    <mergeCell ref="R16:S16"/>
    <mergeCell ref="T16:U16"/>
    <mergeCell ref="AB16:AC16"/>
    <mergeCell ref="AF16:AG16"/>
    <mergeCell ref="AF1:AG1"/>
    <mergeCell ref="AH1:AH2"/>
    <mergeCell ref="AF15:AG15"/>
    <mergeCell ref="AB15:AC15"/>
    <mergeCell ref="V20:W20"/>
    <mergeCell ref="Z20:AA20"/>
    <mergeCell ref="AB20:AC20"/>
    <mergeCell ref="J20:K20"/>
    <mergeCell ref="L20:M20"/>
    <mergeCell ref="N20:O20"/>
    <mergeCell ref="R20:S20"/>
    <mergeCell ref="T20:U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53"/>
  <sheetViews>
    <sheetView zoomScaleNormal="100" workbookViewId="0">
      <pane xSplit="1" topLeftCell="B1" activePane="topRight" state="frozen"/>
      <selection pane="topRight" activeCell="O22" sqref="O22"/>
    </sheetView>
  </sheetViews>
  <sheetFormatPr baseColWidth="10" defaultColWidth="11.1640625" defaultRowHeight="16" x14ac:dyDescent="0.2"/>
  <cols>
    <col min="1" max="1" width="15.83203125" customWidth="1"/>
    <col min="21" max="21" width="11.33203125" bestFit="1" customWidth="1"/>
    <col min="33" max="33" width="11.6640625" customWidth="1"/>
    <col min="34" max="34" width="12.33203125" customWidth="1"/>
  </cols>
  <sheetData>
    <row r="1" spans="1:42"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42"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42" x14ac:dyDescent="0.2">
      <c r="A3" s="3" t="s">
        <v>15</v>
      </c>
      <c r="B3" s="10"/>
      <c r="C3" s="11"/>
      <c r="D3" s="10"/>
      <c r="E3" s="11"/>
      <c r="F3" s="10"/>
      <c r="G3" s="11"/>
      <c r="H3" s="10"/>
      <c r="I3" s="11"/>
      <c r="J3" s="10"/>
      <c r="K3" s="11"/>
      <c r="L3" s="10"/>
      <c r="M3" s="11"/>
      <c r="N3" s="10"/>
      <c r="O3" s="11"/>
      <c r="P3" s="10"/>
      <c r="Q3" s="11"/>
      <c r="R3" s="10"/>
      <c r="S3" s="11"/>
      <c r="T3" s="10"/>
      <c r="U3" s="11"/>
      <c r="V3" s="10"/>
      <c r="W3" s="11"/>
      <c r="X3" s="10"/>
      <c r="Y3" s="11"/>
      <c r="Z3" s="10"/>
      <c r="AA3" s="11"/>
      <c r="AB3" s="10"/>
      <c r="AC3" s="11"/>
      <c r="AD3" s="12"/>
      <c r="AE3" s="13">
        <f>2*50160*0.3</f>
        <v>30096</v>
      </c>
      <c r="AF3" s="65">
        <f>B3+D3+F3+H3+J3+L3+N3+P3+R3+T3+V3+X3+Z3+AB3+AD3</f>
        <v>0</v>
      </c>
      <c r="AG3" s="69">
        <f>C3+E3+G3+I3+K3+M3+O3+Q3+S3+U3+W3+Y3+AA3+AC3+AE3</f>
        <v>30096</v>
      </c>
      <c r="AH3" s="64">
        <f>AF3+AG3</f>
        <v>30096</v>
      </c>
      <c r="AJ3" t="s">
        <v>92</v>
      </c>
    </row>
    <row r="4" spans="1:42" x14ac:dyDescent="0.2">
      <c r="A4" s="3" t="s">
        <v>16</v>
      </c>
      <c r="B4" s="10"/>
      <c r="C4" s="11"/>
      <c r="D4" s="10"/>
      <c r="E4" s="11"/>
      <c r="F4" s="10"/>
      <c r="G4" s="11"/>
      <c r="H4" s="10"/>
      <c r="I4" s="11"/>
      <c r="J4" s="10"/>
      <c r="K4" s="11"/>
      <c r="L4" s="10"/>
      <c r="M4" s="11"/>
      <c r="N4" s="10"/>
      <c r="O4" s="11"/>
      <c r="P4" s="10"/>
      <c r="Q4" s="11"/>
      <c r="R4" s="10"/>
      <c r="S4" s="11">
        <f>50160/12*1.5</f>
        <v>6270</v>
      </c>
      <c r="T4" s="10"/>
      <c r="U4" s="11"/>
      <c r="V4" s="10"/>
      <c r="W4" s="11"/>
      <c r="X4" s="10"/>
      <c r="Y4" s="11"/>
      <c r="Z4" s="10"/>
      <c r="AA4" s="11"/>
      <c r="AB4" s="10"/>
      <c r="AC4" s="11"/>
      <c r="AD4" s="12"/>
      <c r="AE4" s="13"/>
      <c r="AF4" s="65">
        <f t="shared" ref="AF4:AG14" si="0">B4+D4+F4+H4+J4+L4+N4+P4+R4+T4+V4+X4+Z4+AB4+AD4</f>
        <v>0</v>
      </c>
      <c r="AG4" s="69">
        <f t="shared" si="0"/>
        <v>6270</v>
      </c>
      <c r="AH4" s="64">
        <f t="shared" ref="AH4:AH14" si="1">AF4+AG4</f>
        <v>6270</v>
      </c>
      <c r="AJ4" t="s">
        <v>98</v>
      </c>
    </row>
    <row r="5" spans="1:42" x14ac:dyDescent="0.2">
      <c r="A5" s="3" t="s">
        <v>17</v>
      </c>
      <c r="B5" s="10"/>
      <c r="C5" s="11"/>
      <c r="D5" s="10"/>
      <c r="E5" s="11"/>
      <c r="F5" s="10"/>
      <c r="G5" s="11"/>
      <c r="H5" s="10"/>
      <c r="I5" s="11"/>
      <c r="J5" s="10"/>
      <c r="K5" s="11"/>
      <c r="L5" s="10"/>
      <c r="M5" s="11"/>
      <c r="N5" s="10"/>
      <c r="O5" s="11"/>
      <c r="P5" s="10"/>
      <c r="Q5" s="11"/>
      <c r="R5" s="10"/>
      <c r="S5" s="11"/>
      <c r="T5" s="10"/>
      <c r="U5" s="11"/>
      <c r="V5" s="10"/>
      <c r="W5" s="11"/>
      <c r="X5" s="10"/>
      <c r="Y5" s="11">
        <f>50160/2</f>
        <v>25080</v>
      </c>
      <c r="Z5" s="10"/>
      <c r="AA5" s="11"/>
      <c r="AB5" s="10"/>
      <c r="AC5" s="11"/>
      <c r="AD5" s="12"/>
      <c r="AE5" s="13"/>
      <c r="AF5" s="65">
        <f t="shared" si="0"/>
        <v>0</v>
      </c>
      <c r="AG5" s="69">
        <f t="shared" si="0"/>
        <v>25080</v>
      </c>
      <c r="AH5" s="64">
        <f t="shared" si="1"/>
        <v>25080</v>
      </c>
      <c r="AJ5" t="s">
        <v>105</v>
      </c>
    </row>
    <row r="6" spans="1:42" x14ac:dyDescent="0.2">
      <c r="A6" s="3" t="s">
        <v>18</v>
      </c>
      <c r="B6" s="10"/>
      <c r="C6" s="11"/>
      <c r="D6" s="10"/>
      <c r="E6" s="11"/>
      <c r="F6" s="10"/>
      <c r="G6" s="11"/>
      <c r="H6" s="10"/>
      <c r="I6" s="11"/>
      <c r="J6" s="10"/>
      <c r="K6" s="11"/>
      <c r="L6" s="10"/>
      <c r="M6" s="11"/>
      <c r="N6" s="10"/>
      <c r="O6" s="11"/>
      <c r="P6" s="10"/>
      <c r="Q6" s="11"/>
      <c r="R6" s="10"/>
      <c r="S6" s="11">
        <f>50160/12*2</f>
        <v>8360</v>
      </c>
      <c r="T6" s="10"/>
      <c r="U6" s="11"/>
      <c r="V6" s="10"/>
      <c r="W6" s="11"/>
      <c r="X6" s="10"/>
      <c r="Y6" s="11"/>
      <c r="Z6" s="10"/>
      <c r="AA6" s="11"/>
      <c r="AB6" s="10"/>
      <c r="AC6" s="11"/>
      <c r="AD6" s="12"/>
      <c r="AE6" s="13"/>
      <c r="AF6" s="65">
        <f t="shared" si="0"/>
        <v>0</v>
      </c>
      <c r="AG6" s="69">
        <f t="shared" si="0"/>
        <v>8360</v>
      </c>
      <c r="AH6" s="64">
        <f t="shared" si="1"/>
        <v>8360</v>
      </c>
      <c r="AJ6" t="s">
        <v>108</v>
      </c>
    </row>
    <row r="7" spans="1:42" x14ac:dyDescent="0.2">
      <c r="A7" s="3" t="s">
        <v>19</v>
      </c>
      <c r="B7" s="10"/>
      <c r="C7" s="11"/>
      <c r="D7" s="10"/>
      <c r="E7" s="11"/>
      <c r="F7" s="10"/>
      <c r="G7" s="11"/>
      <c r="H7" s="10"/>
      <c r="I7" s="11"/>
      <c r="J7" s="10"/>
      <c r="K7" s="11"/>
      <c r="L7" s="10"/>
      <c r="M7" s="11"/>
      <c r="N7" s="10"/>
      <c r="O7" s="11"/>
      <c r="P7" s="10"/>
      <c r="Q7" s="11"/>
      <c r="R7" s="10"/>
      <c r="S7" s="11"/>
      <c r="T7" s="10"/>
      <c r="U7" s="11"/>
      <c r="V7" s="10"/>
      <c r="W7" s="11"/>
      <c r="X7" s="10"/>
      <c r="Y7" s="11">
        <f>50160/2</f>
        <v>25080</v>
      </c>
      <c r="Z7" s="10"/>
      <c r="AA7" s="11"/>
      <c r="AB7" s="10"/>
      <c r="AC7" s="11"/>
      <c r="AD7" s="12"/>
      <c r="AE7" s="13">
        <f>50160/2</f>
        <v>25080</v>
      </c>
      <c r="AF7" s="65">
        <f t="shared" si="0"/>
        <v>0</v>
      </c>
      <c r="AG7" s="69">
        <f t="shared" si="0"/>
        <v>50160</v>
      </c>
      <c r="AH7" s="64">
        <f t="shared" si="1"/>
        <v>50160</v>
      </c>
      <c r="AJ7" t="s">
        <v>111</v>
      </c>
    </row>
    <row r="8" spans="1:42" x14ac:dyDescent="0.2">
      <c r="A8" s="3" t="s">
        <v>20</v>
      </c>
      <c r="B8" s="10"/>
      <c r="C8" s="11"/>
      <c r="D8" s="10"/>
      <c r="E8" s="11"/>
      <c r="F8" s="10"/>
      <c r="G8" s="11"/>
      <c r="H8" s="10"/>
      <c r="I8" s="11"/>
      <c r="J8" s="10"/>
      <c r="K8" s="11"/>
      <c r="L8" s="10"/>
      <c r="M8" s="11"/>
      <c r="N8" s="10"/>
      <c r="O8" s="11"/>
      <c r="P8" s="10"/>
      <c r="Q8" s="11"/>
      <c r="R8" s="10"/>
      <c r="S8" s="11">
        <f>50160/12*2</f>
        <v>8360</v>
      </c>
      <c r="T8" s="10"/>
      <c r="U8" s="11"/>
      <c r="V8" s="10"/>
      <c r="W8" s="11"/>
      <c r="X8" s="10"/>
      <c r="Y8" s="11"/>
      <c r="Z8" s="10"/>
      <c r="AA8" s="11"/>
      <c r="AB8" s="10"/>
      <c r="AC8" s="11"/>
      <c r="AD8" s="12"/>
      <c r="AE8" s="13"/>
      <c r="AF8" s="65">
        <f t="shared" si="0"/>
        <v>0</v>
      </c>
      <c r="AG8" s="69">
        <f t="shared" si="0"/>
        <v>8360</v>
      </c>
      <c r="AH8" s="64">
        <f t="shared" si="1"/>
        <v>8360</v>
      </c>
      <c r="AJ8" t="s">
        <v>108</v>
      </c>
    </row>
    <row r="9" spans="1:42" x14ac:dyDescent="0.2">
      <c r="A9" s="3" t="s">
        <v>21</v>
      </c>
      <c r="B9" s="10"/>
      <c r="C9" s="11"/>
      <c r="D9" s="10"/>
      <c r="E9" s="11"/>
      <c r="F9" s="10"/>
      <c r="G9" s="11"/>
      <c r="H9" s="10"/>
      <c r="I9" s="11"/>
      <c r="J9" s="10"/>
      <c r="K9" s="11"/>
      <c r="L9" s="10"/>
      <c r="M9" s="11"/>
      <c r="N9" s="10"/>
      <c r="O9" s="11"/>
      <c r="P9" s="10"/>
      <c r="Q9" s="11"/>
      <c r="R9" s="10"/>
      <c r="S9" s="11"/>
      <c r="T9" s="10"/>
      <c r="U9" s="11">
        <f>2*50160/12</f>
        <v>8360</v>
      </c>
      <c r="V9" s="10"/>
      <c r="W9" s="11"/>
      <c r="X9" s="10"/>
      <c r="Y9" s="11"/>
      <c r="Z9" s="10"/>
      <c r="AA9" s="11"/>
      <c r="AB9" s="10"/>
      <c r="AC9" s="11"/>
      <c r="AD9" s="12"/>
      <c r="AE9" s="13"/>
      <c r="AF9" s="65">
        <f t="shared" si="0"/>
        <v>0</v>
      </c>
      <c r="AG9" s="69">
        <f t="shared" si="0"/>
        <v>8360</v>
      </c>
      <c r="AH9" s="64">
        <f t="shared" si="1"/>
        <v>8360</v>
      </c>
      <c r="AJ9" t="s">
        <v>153</v>
      </c>
      <c r="AM9" t="s">
        <v>154</v>
      </c>
    </row>
    <row r="10" spans="1:42" x14ac:dyDescent="0.2">
      <c r="A10" s="3" t="s">
        <v>22</v>
      </c>
      <c r="B10" s="10"/>
      <c r="C10" s="11"/>
      <c r="D10" s="10"/>
      <c r="E10" s="11"/>
      <c r="F10" s="10"/>
      <c r="G10" s="11"/>
      <c r="H10" s="10"/>
      <c r="I10" s="11"/>
      <c r="J10" s="10"/>
      <c r="K10" s="11"/>
      <c r="L10" s="10"/>
      <c r="M10" s="11"/>
      <c r="N10" s="10">
        <f>1.22*3500</f>
        <v>4270</v>
      </c>
      <c r="O10" s="11"/>
      <c r="P10" s="10"/>
      <c r="Q10" s="11"/>
      <c r="R10" s="10"/>
      <c r="S10" s="11">
        <f>44080/12-0.01</f>
        <v>3673.3233333333333</v>
      </c>
      <c r="T10" s="10"/>
      <c r="U10" s="11">
        <f>50160/12*4+50160/12</f>
        <v>20900</v>
      </c>
      <c r="V10" s="10"/>
      <c r="W10" s="11"/>
      <c r="X10" s="10"/>
      <c r="Y10" s="11"/>
      <c r="Z10" s="10"/>
      <c r="AA10" s="11"/>
      <c r="AB10" s="10"/>
      <c r="AC10" s="11"/>
      <c r="AD10" s="12"/>
      <c r="AE10" s="13"/>
      <c r="AF10" s="65">
        <f t="shared" si="0"/>
        <v>4270</v>
      </c>
      <c r="AG10" s="69">
        <f t="shared" si="0"/>
        <v>24573.323333333334</v>
      </c>
      <c r="AH10" s="64">
        <f t="shared" si="1"/>
        <v>28843.323333333334</v>
      </c>
      <c r="AJ10" t="s">
        <v>181</v>
      </c>
      <c r="AM10" t="s">
        <v>193</v>
      </c>
      <c r="AP10" t="s">
        <v>182</v>
      </c>
    </row>
    <row r="11" spans="1:42" x14ac:dyDescent="0.2">
      <c r="A11" s="3" t="s">
        <v>23</v>
      </c>
      <c r="B11" s="10"/>
      <c r="C11" s="11"/>
      <c r="D11" s="10"/>
      <c r="E11" s="11"/>
      <c r="F11" s="10"/>
      <c r="G11" s="11"/>
      <c r="H11" s="10"/>
      <c r="I11" s="11"/>
      <c r="J11" s="10"/>
      <c r="K11" s="11"/>
      <c r="L11" s="10"/>
      <c r="M11" s="11"/>
      <c r="N11" s="10"/>
      <c r="O11" s="11"/>
      <c r="P11" s="10"/>
      <c r="Q11" s="11"/>
      <c r="R11" s="10"/>
      <c r="S11" s="11">
        <f>51084/12*4</f>
        <v>17028</v>
      </c>
      <c r="T11" s="10"/>
      <c r="U11" s="11"/>
      <c r="V11" s="10"/>
      <c r="W11" s="11"/>
      <c r="X11" s="10"/>
      <c r="Y11" s="11">
        <f>51084/2</f>
        <v>25542</v>
      </c>
      <c r="Z11" s="10"/>
      <c r="AA11" s="11"/>
      <c r="AB11" s="10"/>
      <c r="AC11" s="11"/>
      <c r="AD11" s="12"/>
      <c r="AE11" s="13">
        <f>51084/2</f>
        <v>25542</v>
      </c>
      <c r="AF11" s="65">
        <f t="shared" si="0"/>
        <v>0</v>
      </c>
      <c r="AG11" s="69">
        <f t="shared" si="0"/>
        <v>68112</v>
      </c>
      <c r="AH11" s="64">
        <f t="shared" si="1"/>
        <v>68112</v>
      </c>
      <c r="AJ11" t="s">
        <v>214</v>
      </c>
    </row>
    <row r="12" spans="1:42" x14ac:dyDescent="0.2">
      <c r="A12" s="3" t="s">
        <v>24</v>
      </c>
      <c r="B12" s="10"/>
      <c r="C12" s="11"/>
      <c r="D12" s="10"/>
      <c r="E12" s="11"/>
      <c r="F12" s="10"/>
      <c r="G12" s="11"/>
      <c r="H12" s="10"/>
      <c r="I12" s="11"/>
      <c r="J12" s="10"/>
      <c r="K12" s="11"/>
      <c r="L12" s="10"/>
      <c r="M12" s="11"/>
      <c r="N12" s="10"/>
      <c r="O12" s="11">
        <f>46500/12*2</f>
        <v>7750</v>
      </c>
      <c r="P12" s="10"/>
      <c r="Q12" s="11"/>
      <c r="R12" s="10"/>
      <c r="S12" s="11"/>
      <c r="T12" s="10"/>
      <c r="U12" s="11"/>
      <c r="V12" s="10"/>
      <c r="W12" s="11"/>
      <c r="X12" s="10"/>
      <c r="Y12" s="11"/>
      <c r="Z12" s="10"/>
      <c r="AA12" s="11"/>
      <c r="AB12" s="10"/>
      <c r="AC12" s="11"/>
      <c r="AD12" s="12"/>
      <c r="AE12" s="13"/>
      <c r="AF12" s="65">
        <f t="shared" si="0"/>
        <v>0</v>
      </c>
      <c r="AG12" s="69">
        <f t="shared" si="0"/>
        <v>7750</v>
      </c>
      <c r="AH12" s="64">
        <f t="shared" si="1"/>
        <v>7750</v>
      </c>
      <c r="AJ12" t="s">
        <v>222</v>
      </c>
    </row>
    <row r="13" spans="1:42" ht="17" thickBot="1" x14ac:dyDescent="0.25">
      <c r="A13" s="4" t="s">
        <v>25</v>
      </c>
      <c r="B13" s="14"/>
      <c r="C13" s="15"/>
      <c r="D13" s="14"/>
      <c r="E13" s="15"/>
      <c r="F13" s="14"/>
      <c r="G13" s="15"/>
      <c r="H13" s="14"/>
      <c r="I13" s="15"/>
      <c r="J13" s="14"/>
      <c r="K13" s="15"/>
      <c r="L13" s="14"/>
      <c r="M13" s="15"/>
      <c r="N13" s="14"/>
      <c r="O13" s="15"/>
      <c r="P13" s="14"/>
      <c r="Q13" s="15"/>
      <c r="R13" s="14"/>
      <c r="S13" s="15">
        <f>46500*0.2</f>
        <v>9300</v>
      </c>
      <c r="T13" s="14"/>
      <c r="U13" s="15"/>
      <c r="V13" s="14"/>
      <c r="W13" s="15"/>
      <c r="X13" s="14"/>
      <c r="Y13" s="15"/>
      <c r="Z13" s="14"/>
      <c r="AA13" s="15"/>
      <c r="AB13" s="14"/>
      <c r="AC13" s="15"/>
      <c r="AD13" s="16"/>
      <c r="AE13" s="17"/>
      <c r="AF13" s="66">
        <f t="shared" si="0"/>
        <v>0</v>
      </c>
      <c r="AG13" s="70">
        <f t="shared" si="0"/>
        <v>9300</v>
      </c>
      <c r="AH13" s="70">
        <f t="shared" si="1"/>
        <v>9300</v>
      </c>
      <c r="AJ13" t="s">
        <v>224</v>
      </c>
    </row>
    <row r="14" spans="1:42" ht="17" thickBot="1" x14ac:dyDescent="0.25">
      <c r="A14" s="5" t="s">
        <v>26</v>
      </c>
      <c r="B14" s="18">
        <f>SUM(B3:B13)</f>
        <v>0</v>
      </c>
      <c r="C14" s="19">
        <f t="shared" ref="C14:AE14" si="2">SUM(C3:C13)</f>
        <v>0</v>
      </c>
      <c r="D14" s="18">
        <f t="shared" si="2"/>
        <v>0</v>
      </c>
      <c r="E14" s="19">
        <f t="shared" si="2"/>
        <v>0</v>
      </c>
      <c r="F14" s="18">
        <f>SUM(F3:F13)</f>
        <v>0</v>
      </c>
      <c r="G14" s="19">
        <f>SUM(G3:G13)</f>
        <v>0</v>
      </c>
      <c r="H14" s="18">
        <f t="shared" si="2"/>
        <v>0</v>
      </c>
      <c r="I14" s="19">
        <f t="shared" si="2"/>
        <v>0</v>
      </c>
      <c r="J14" s="18">
        <f t="shared" si="2"/>
        <v>0</v>
      </c>
      <c r="K14" s="19">
        <f t="shared" si="2"/>
        <v>0</v>
      </c>
      <c r="L14" s="18">
        <f t="shared" si="2"/>
        <v>0</v>
      </c>
      <c r="M14" s="19">
        <f t="shared" si="2"/>
        <v>0</v>
      </c>
      <c r="N14" s="18">
        <f t="shared" si="2"/>
        <v>4270</v>
      </c>
      <c r="O14" s="19">
        <f t="shared" si="2"/>
        <v>7750</v>
      </c>
      <c r="P14" s="18">
        <f t="shared" si="2"/>
        <v>0</v>
      </c>
      <c r="Q14" s="19">
        <f t="shared" si="2"/>
        <v>0</v>
      </c>
      <c r="R14" s="18">
        <f t="shared" si="2"/>
        <v>0</v>
      </c>
      <c r="S14" s="19">
        <f t="shared" si="2"/>
        <v>52991.323333333334</v>
      </c>
      <c r="T14" s="18">
        <f t="shared" si="2"/>
        <v>0</v>
      </c>
      <c r="U14" s="19">
        <f t="shared" si="2"/>
        <v>29260</v>
      </c>
      <c r="V14" s="18">
        <f t="shared" si="2"/>
        <v>0</v>
      </c>
      <c r="W14" s="19">
        <f t="shared" si="2"/>
        <v>0</v>
      </c>
      <c r="X14" s="18">
        <f t="shared" si="2"/>
        <v>0</v>
      </c>
      <c r="Y14" s="19">
        <f t="shared" si="2"/>
        <v>75702</v>
      </c>
      <c r="Z14" s="18">
        <f t="shared" si="2"/>
        <v>0</v>
      </c>
      <c r="AA14" s="19">
        <f t="shared" si="2"/>
        <v>0</v>
      </c>
      <c r="AB14" s="18">
        <f t="shared" si="2"/>
        <v>0</v>
      </c>
      <c r="AC14" s="19">
        <f t="shared" si="2"/>
        <v>0</v>
      </c>
      <c r="AD14" s="20">
        <f t="shared" si="2"/>
        <v>0</v>
      </c>
      <c r="AE14" s="21">
        <f t="shared" si="2"/>
        <v>80718</v>
      </c>
      <c r="AF14" s="67">
        <f t="shared" si="0"/>
        <v>4270</v>
      </c>
      <c r="AG14" s="71">
        <f t="shared" si="0"/>
        <v>246421.32333333333</v>
      </c>
      <c r="AH14" s="71">
        <f t="shared" si="1"/>
        <v>250691.32333333333</v>
      </c>
    </row>
    <row r="15" spans="1:42" ht="17" thickBot="1" x14ac:dyDescent="0.25">
      <c r="A15" s="6" t="s">
        <v>29</v>
      </c>
      <c r="B15" s="123">
        <f>B14+C14</f>
        <v>0</v>
      </c>
      <c r="C15" s="124"/>
      <c r="D15" s="123">
        <f>D14+E14</f>
        <v>0</v>
      </c>
      <c r="E15" s="124"/>
      <c r="F15" s="123">
        <f>F14+G14</f>
        <v>0</v>
      </c>
      <c r="G15" s="124"/>
      <c r="H15" s="123">
        <f>H14+I14</f>
        <v>0</v>
      </c>
      <c r="I15" s="124"/>
      <c r="J15" s="123">
        <f>J14+K14</f>
        <v>0</v>
      </c>
      <c r="K15" s="124"/>
      <c r="L15" s="123">
        <f>L14+M14</f>
        <v>0</v>
      </c>
      <c r="M15" s="124"/>
      <c r="N15" s="123">
        <f>N14+O14</f>
        <v>12020</v>
      </c>
      <c r="O15" s="124"/>
      <c r="P15" s="123">
        <f>P14+Q14</f>
        <v>0</v>
      </c>
      <c r="Q15" s="124"/>
      <c r="R15" s="92">
        <f>(R14+S14)/2</f>
        <v>26495.661666666667</v>
      </c>
      <c r="S15" s="93">
        <f>(R14+S14)/2</f>
        <v>26495.661666666667</v>
      </c>
      <c r="T15" s="123">
        <f>T14+U14</f>
        <v>29260</v>
      </c>
      <c r="U15" s="124"/>
      <c r="V15" s="123">
        <f>V14+W14</f>
        <v>0</v>
      </c>
      <c r="W15" s="124"/>
      <c r="X15" s="123">
        <f>X14+Y14</f>
        <v>75702</v>
      </c>
      <c r="Y15" s="124"/>
      <c r="Z15" s="123">
        <f>Z14+AA14</f>
        <v>0</v>
      </c>
      <c r="AA15" s="124"/>
      <c r="AB15" s="123">
        <f>AB14+AC14</f>
        <v>0</v>
      </c>
      <c r="AC15" s="124"/>
      <c r="AD15" s="134">
        <f>AD14+AE14</f>
        <v>80718</v>
      </c>
      <c r="AE15" s="118"/>
      <c r="AF15" s="68"/>
      <c r="AG15" s="46"/>
      <c r="AH15" s="72">
        <f t="shared" ref="AH15" si="3">SUM(B15:AE15)</f>
        <v>250691.32333333333</v>
      </c>
    </row>
    <row r="16" spans="1:42" ht="17" thickBot="1" x14ac:dyDescent="0.25">
      <c r="A16" s="6" t="s">
        <v>254</v>
      </c>
      <c r="B16" s="123">
        <f>1.07*B15</f>
        <v>0</v>
      </c>
      <c r="C16" s="124"/>
      <c r="D16" s="123">
        <f t="shared" ref="D16" si="4">1.07*D15</f>
        <v>0</v>
      </c>
      <c r="E16" s="124"/>
      <c r="F16" s="123">
        <f t="shared" ref="F16" si="5">1.07*F15</f>
        <v>0</v>
      </c>
      <c r="G16" s="124"/>
      <c r="H16" s="123">
        <f t="shared" ref="H16" si="6">1.07*H15</f>
        <v>0</v>
      </c>
      <c r="I16" s="124"/>
      <c r="J16" s="123">
        <f t="shared" ref="J16" si="7">1.07*J15</f>
        <v>0</v>
      </c>
      <c r="K16" s="124"/>
      <c r="L16" s="123">
        <f t="shared" ref="L16" si="8">1.07*L15</f>
        <v>0</v>
      </c>
      <c r="M16" s="124"/>
      <c r="N16" s="123">
        <f t="shared" ref="N16" si="9">1.07*N15</f>
        <v>12861.400000000001</v>
      </c>
      <c r="O16" s="124"/>
      <c r="P16" s="123">
        <f t="shared" ref="P16" si="10">1.07*P15</f>
        <v>0</v>
      </c>
      <c r="Q16" s="124"/>
      <c r="R16" s="92">
        <f t="shared" ref="R16:S16" si="11">1.07*R15</f>
        <v>28350.357983333335</v>
      </c>
      <c r="S16" s="93">
        <f t="shared" si="11"/>
        <v>28350.357983333335</v>
      </c>
      <c r="T16" s="123">
        <f t="shared" ref="T16" si="12">1.07*T15</f>
        <v>31308.2</v>
      </c>
      <c r="U16" s="124"/>
      <c r="V16" s="123">
        <f t="shared" ref="V16" si="13">1.07*V15</f>
        <v>0</v>
      </c>
      <c r="W16" s="124"/>
      <c r="X16" s="123">
        <f t="shared" ref="X16" si="14">1.07*X15</f>
        <v>81001.14</v>
      </c>
      <c r="Y16" s="124"/>
      <c r="Z16" s="123">
        <f t="shared" ref="Z16" si="15">1.07*Z15</f>
        <v>0</v>
      </c>
      <c r="AA16" s="124"/>
      <c r="AB16" s="123">
        <f t="shared" ref="AB16" si="16">1.07*AB15</f>
        <v>0</v>
      </c>
      <c r="AC16" s="124"/>
      <c r="AD16" s="123">
        <f t="shared" ref="AD16" si="17">1.07*AD15</f>
        <v>86368.260000000009</v>
      </c>
      <c r="AE16" s="118"/>
      <c r="AF16" s="117">
        <f t="shared" ref="AF16" si="18">1.07*AF15</f>
        <v>0</v>
      </c>
      <c r="AG16" s="118"/>
      <c r="AH16" s="72">
        <f t="shared" ref="AH16" si="19">1.07*AH15</f>
        <v>268239.7159666667</v>
      </c>
    </row>
    <row r="18" spans="1:31" ht="17" thickBot="1" x14ac:dyDescent="0.25"/>
    <row r="19" spans="1:31" x14ac:dyDescent="0.2">
      <c r="A19" s="51" t="s">
        <v>33</v>
      </c>
      <c r="B19" s="125"/>
      <c r="C19" s="126"/>
      <c r="D19" s="125"/>
      <c r="E19" s="126"/>
      <c r="F19" s="125"/>
      <c r="G19" s="126"/>
      <c r="H19" s="125"/>
      <c r="I19" s="126"/>
      <c r="J19" s="125"/>
      <c r="K19" s="126"/>
      <c r="L19" s="125"/>
      <c r="M19" s="126"/>
      <c r="N19" s="125" t="s">
        <v>230</v>
      </c>
      <c r="O19" s="126"/>
      <c r="P19" s="125"/>
      <c r="Q19" s="126"/>
      <c r="R19" s="97" t="s">
        <v>231</v>
      </c>
      <c r="S19" s="81" t="s">
        <v>232</v>
      </c>
      <c r="T19" s="125" t="s">
        <v>233</v>
      </c>
      <c r="U19" s="126"/>
      <c r="V19" s="125"/>
      <c r="W19" s="126"/>
      <c r="X19" s="125" t="s">
        <v>234</v>
      </c>
      <c r="Y19" s="126"/>
      <c r="Z19" s="125"/>
      <c r="AA19" s="126"/>
      <c r="AB19" s="125"/>
      <c r="AC19" s="126"/>
      <c r="AD19" s="125" t="s">
        <v>235</v>
      </c>
      <c r="AE19" s="127"/>
    </row>
    <row r="20" spans="1:31" ht="17" thickBot="1" x14ac:dyDescent="0.25">
      <c r="A20" s="52" t="s">
        <v>35</v>
      </c>
      <c r="B20" s="104"/>
      <c r="C20" s="105"/>
      <c r="D20" s="106"/>
      <c r="E20" s="107"/>
      <c r="F20" s="104"/>
      <c r="G20" s="107"/>
      <c r="H20" s="104"/>
      <c r="I20" s="107"/>
      <c r="J20" s="104"/>
      <c r="K20" s="107"/>
      <c r="L20" s="104"/>
      <c r="M20" s="107"/>
      <c r="N20" s="114" t="s">
        <v>530</v>
      </c>
      <c r="O20" s="115"/>
      <c r="P20" s="104"/>
      <c r="Q20" s="107"/>
      <c r="R20" s="104" t="s">
        <v>531</v>
      </c>
      <c r="S20" s="107" t="s">
        <v>526</v>
      </c>
      <c r="T20" s="114" t="s">
        <v>527</v>
      </c>
      <c r="U20" s="115"/>
      <c r="V20" s="104"/>
      <c r="W20" s="105"/>
      <c r="X20" s="114" t="s">
        <v>528</v>
      </c>
      <c r="Y20" s="115"/>
      <c r="Z20" s="106"/>
      <c r="AA20" s="107"/>
      <c r="AB20" s="104"/>
      <c r="AC20" s="107"/>
      <c r="AD20" s="114" t="s">
        <v>529</v>
      </c>
      <c r="AE20" s="116"/>
    </row>
    <row r="25" spans="1:31" x14ac:dyDescent="0.2">
      <c r="A25" s="60" t="s">
        <v>230</v>
      </c>
      <c r="B25" t="s">
        <v>324</v>
      </c>
    </row>
    <row r="26" spans="1:31" x14ac:dyDescent="0.2">
      <c r="B26" s="73" t="s">
        <v>281</v>
      </c>
      <c r="C26" t="s">
        <v>325</v>
      </c>
    </row>
    <row r="27" spans="1:31" x14ac:dyDescent="0.2">
      <c r="B27" s="60" t="s">
        <v>34</v>
      </c>
      <c r="C27" t="s">
        <v>326</v>
      </c>
    </row>
    <row r="28" spans="1:31" x14ac:dyDescent="0.2">
      <c r="C28" s="60" t="s">
        <v>530</v>
      </c>
      <c r="D28" t="s">
        <v>327</v>
      </c>
    </row>
    <row r="30" spans="1:31" x14ac:dyDescent="0.2">
      <c r="A30" s="60" t="s">
        <v>231</v>
      </c>
      <c r="B30" s="61" t="s">
        <v>328</v>
      </c>
    </row>
    <row r="31" spans="1:31" x14ac:dyDescent="0.2">
      <c r="B31" s="73" t="s">
        <v>281</v>
      </c>
      <c r="C31" t="s">
        <v>330</v>
      </c>
    </row>
    <row r="32" spans="1:31" x14ac:dyDescent="0.2">
      <c r="B32" s="60" t="s">
        <v>34</v>
      </c>
      <c r="C32" t="s">
        <v>332</v>
      </c>
    </row>
    <row r="33" spans="1:4" x14ac:dyDescent="0.2">
      <c r="C33" s="60" t="s">
        <v>531</v>
      </c>
      <c r="D33" t="s">
        <v>329</v>
      </c>
    </row>
    <row r="35" spans="1:4" x14ac:dyDescent="0.2">
      <c r="A35" s="60" t="s">
        <v>232</v>
      </c>
      <c r="B35" s="61" t="s">
        <v>338</v>
      </c>
    </row>
    <row r="36" spans="1:4" x14ac:dyDescent="0.2">
      <c r="B36" s="73" t="s">
        <v>281</v>
      </c>
      <c r="C36" t="s">
        <v>339</v>
      </c>
    </row>
    <row r="37" spans="1:4" x14ac:dyDescent="0.2">
      <c r="B37" s="60" t="s">
        <v>34</v>
      </c>
      <c r="C37" t="s">
        <v>340</v>
      </c>
    </row>
    <row r="38" spans="1:4" x14ac:dyDescent="0.2">
      <c r="C38" s="60" t="s">
        <v>526</v>
      </c>
      <c r="D38" t="s">
        <v>341</v>
      </c>
    </row>
    <row r="40" spans="1:4" x14ac:dyDescent="0.2">
      <c r="A40" s="60" t="s">
        <v>233</v>
      </c>
      <c r="B40" s="61" t="s">
        <v>337</v>
      </c>
    </row>
    <row r="41" spans="1:4" x14ac:dyDescent="0.2">
      <c r="B41" s="73" t="s">
        <v>281</v>
      </c>
      <c r="C41" t="s">
        <v>334</v>
      </c>
    </row>
    <row r="42" spans="1:4" x14ac:dyDescent="0.2">
      <c r="B42" s="60" t="s">
        <v>34</v>
      </c>
      <c r="C42" t="s">
        <v>335</v>
      </c>
    </row>
    <row r="43" spans="1:4" x14ac:dyDescent="0.2">
      <c r="C43" s="60" t="s">
        <v>527</v>
      </c>
      <c r="D43" t="s">
        <v>336</v>
      </c>
    </row>
    <row r="45" spans="1:4" x14ac:dyDescent="0.2">
      <c r="A45" s="60" t="s">
        <v>234</v>
      </c>
      <c r="B45" s="61" t="s">
        <v>555</v>
      </c>
    </row>
    <row r="46" spans="1:4" x14ac:dyDescent="0.2">
      <c r="B46" s="73" t="s">
        <v>281</v>
      </c>
      <c r="C46" t="s">
        <v>331</v>
      </c>
    </row>
    <row r="47" spans="1:4" x14ac:dyDescent="0.2">
      <c r="B47" s="60" t="s">
        <v>34</v>
      </c>
      <c r="C47" t="s">
        <v>503</v>
      </c>
    </row>
    <row r="48" spans="1:4" x14ac:dyDescent="0.2">
      <c r="C48" s="60" t="s">
        <v>528</v>
      </c>
      <c r="D48" t="s">
        <v>333</v>
      </c>
    </row>
    <row r="50" spans="1:4" x14ac:dyDescent="0.2">
      <c r="A50" s="60" t="s">
        <v>235</v>
      </c>
      <c r="B50" s="61" t="s">
        <v>342</v>
      </c>
    </row>
    <row r="51" spans="1:4" x14ac:dyDescent="0.2">
      <c r="B51" s="73" t="s">
        <v>281</v>
      </c>
      <c r="C51" t="s">
        <v>343</v>
      </c>
    </row>
    <row r="52" spans="1:4" x14ac:dyDescent="0.2">
      <c r="B52" s="60" t="s">
        <v>34</v>
      </c>
      <c r="C52" t="s">
        <v>335</v>
      </c>
    </row>
    <row r="53" spans="1:4" x14ac:dyDescent="0.2">
      <c r="C53" s="60" t="s">
        <v>529</v>
      </c>
      <c r="D53" t="s">
        <v>344</v>
      </c>
    </row>
  </sheetData>
  <sheetProtection algorithmName="SHA-512" hashValue="9QCA+roHtJ8r1wFfvyBN8f4Kbvd5AQi4ydmvGJi700PRWMKhCWt15r4BCwFde+CzoMt4K4W/nnip++SZld651w==" saltValue="xoKsR+Yjkiu1p17hCbO+Mg==" spinCount="100000" sheet="1" objects="1" scenarios="1"/>
  <mergeCells count="64">
    <mergeCell ref="L1:M1"/>
    <mergeCell ref="B1:C1"/>
    <mergeCell ref="D1:E1"/>
    <mergeCell ref="F1:G1"/>
    <mergeCell ref="H1:I1"/>
    <mergeCell ref="J1:K1"/>
    <mergeCell ref="Z1:AA1"/>
    <mergeCell ref="AB1:AC1"/>
    <mergeCell ref="AD1:AE1"/>
    <mergeCell ref="B15:C15"/>
    <mergeCell ref="D15:E15"/>
    <mergeCell ref="F15:G15"/>
    <mergeCell ref="H15:I15"/>
    <mergeCell ref="J15:K15"/>
    <mergeCell ref="L15:M15"/>
    <mergeCell ref="N15:O15"/>
    <mergeCell ref="N1:O1"/>
    <mergeCell ref="P1:Q1"/>
    <mergeCell ref="R1:S1"/>
    <mergeCell ref="T1:U1"/>
    <mergeCell ref="V1:W1"/>
    <mergeCell ref="X1:Y1"/>
    <mergeCell ref="AB15:AC15"/>
    <mergeCell ref="AD15:AE15"/>
    <mergeCell ref="P15:Q15"/>
    <mergeCell ref="T15:U15"/>
    <mergeCell ref="V15:W15"/>
    <mergeCell ref="X15:Y15"/>
    <mergeCell ref="Z15:AA15"/>
    <mergeCell ref="L19:M19"/>
    <mergeCell ref="N19:O19"/>
    <mergeCell ref="P19:Q19"/>
    <mergeCell ref="T19:U19"/>
    <mergeCell ref="B19:C19"/>
    <mergeCell ref="D19:E19"/>
    <mergeCell ref="F19:G19"/>
    <mergeCell ref="H19:I19"/>
    <mergeCell ref="J19:K19"/>
    <mergeCell ref="AF16:AG16"/>
    <mergeCell ref="AF1:AG1"/>
    <mergeCell ref="AH1:AH2"/>
    <mergeCell ref="B16:C16"/>
    <mergeCell ref="D16:E16"/>
    <mergeCell ref="F16:G16"/>
    <mergeCell ref="H16:I16"/>
    <mergeCell ref="J16:K16"/>
    <mergeCell ref="L16:M16"/>
    <mergeCell ref="N16:O16"/>
    <mergeCell ref="P16:Q16"/>
    <mergeCell ref="T16:U16"/>
    <mergeCell ref="V16:W16"/>
    <mergeCell ref="X16:Y16"/>
    <mergeCell ref="Z16:AA16"/>
    <mergeCell ref="AB16:AC16"/>
    <mergeCell ref="N20:O20"/>
    <mergeCell ref="T20:U20"/>
    <mergeCell ref="X20:Y20"/>
    <mergeCell ref="AD20:AE20"/>
    <mergeCell ref="AD16:AE16"/>
    <mergeCell ref="V19:W19"/>
    <mergeCell ref="X19:Y19"/>
    <mergeCell ref="Z19:AA19"/>
    <mergeCell ref="AB19:AC19"/>
    <mergeCell ref="AD19:AE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77"/>
  <sheetViews>
    <sheetView zoomScaleNormal="100" workbookViewId="0">
      <pane xSplit="1" topLeftCell="B1" activePane="topRight" state="frozen"/>
      <selection pane="topRight" activeCell="B66" sqref="B66"/>
    </sheetView>
  </sheetViews>
  <sheetFormatPr baseColWidth="10" defaultColWidth="11.1640625" defaultRowHeight="16" x14ac:dyDescent="0.2"/>
  <cols>
    <col min="1" max="1" width="15.83203125" customWidth="1"/>
    <col min="29" max="29" width="12.5" customWidth="1"/>
    <col min="32" max="34" width="11.6640625" bestFit="1" customWidth="1"/>
  </cols>
  <sheetData>
    <row r="1" spans="1:39"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39"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39" x14ac:dyDescent="0.2">
      <c r="A3" s="3" t="s">
        <v>15</v>
      </c>
      <c r="B3" s="10"/>
      <c r="C3" s="11"/>
      <c r="D3" s="10"/>
      <c r="E3" s="11"/>
      <c r="F3" s="10"/>
      <c r="G3" s="11"/>
      <c r="H3" s="10"/>
      <c r="I3" s="11"/>
      <c r="J3" s="10"/>
      <c r="K3" s="11"/>
      <c r="L3" s="10"/>
      <c r="M3" s="11"/>
      <c r="N3" s="10"/>
      <c r="O3" s="11"/>
      <c r="P3" s="10"/>
      <c r="Q3" s="11">
        <v>50160</v>
      </c>
      <c r="R3" s="10"/>
      <c r="S3" s="11"/>
      <c r="T3" s="10"/>
      <c r="U3" s="11"/>
      <c r="V3" s="10"/>
      <c r="W3" s="11"/>
      <c r="X3" s="10"/>
      <c r="Y3" s="11"/>
      <c r="Z3" s="10"/>
      <c r="AA3" s="11"/>
      <c r="AB3" s="10"/>
      <c r="AC3" s="11">
        <f>50160</f>
        <v>50160</v>
      </c>
      <c r="AD3" s="12"/>
      <c r="AE3" s="13"/>
      <c r="AF3" s="65">
        <f>B3+D3+F3+H3+J3+L3+N3+P3+R3+T3+V3+X3+Z3+AB3+AD3</f>
        <v>0</v>
      </c>
      <c r="AG3" s="69">
        <f>C3+E3+G3+I3+K3+M3+O3+Q3+S3+U3+W3+Y3+AA3+AC3+AE3</f>
        <v>100320</v>
      </c>
      <c r="AH3" s="64">
        <f>AF3+AG3</f>
        <v>100320</v>
      </c>
      <c r="AJ3" t="s">
        <v>134</v>
      </c>
    </row>
    <row r="4" spans="1:39" x14ac:dyDescent="0.2">
      <c r="A4" s="3" t="s">
        <v>16</v>
      </c>
      <c r="B4" s="10"/>
      <c r="C4" s="11"/>
      <c r="D4" s="10"/>
      <c r="E4" s="11"/>
      <c r="F4" s="10"/>
      <c r="G4" s="11"/>
      <c r="H4" s="10"/>
      <c r="I4" s="11"/>
      <c r="J4" s="10"/>
      <c r="K4" s="11"/>
      <c r="L4" s="10"/>
      <c r="M4" s="11"/>
      <c r="N4" s="10"/>
      <c r="O4" s="11"/>
      <c r="P4" s="10"/>
      <c r="Q4" s="11"/>
      <c r="R4" s="10"/>
      <c r="S4" s="11"/>
      <c r="T4" s="10"/>
      <c r="U4" s="11"/>
      <c r="V4" s="10"/>
      <c r="W4" s="11"/>
      <c r="X4" s="10"/>
      <c r="Y4" s="11"/>
      <c r="Z4" s="10"/>
      <c r="AA4" s="11"/>
      <c r="AB4" s="10"/>
      <c r="AC4" s="11"/>
      <c r="AD4" s="12"/>
      <c r="AE4" s="13"/>
      <c r="AF4" s="65">
        <f t="shared" ref="AF4:AG14" si="0">B4+D4+F4+H4+J4+L4+N4+P4+R4+T4+V4+X4+Z4+AB4+AD4</f>
        <v>0</v>
      </c>
      <c r="AG4" s="69">
        <f t="shared" si="0"/>
        <v>0</v>
      </c>
      <c r="AH4" s="64">
        <f t="shared" ref="AH4:AH14" si="1">AF4+AG4</f>
        <v>0</v>
      </c>
    </row>
    <row r="5" spans="1:39" x14ac:dyDescent="0.2">
      <c r="A5" s="3" t="s">
        <v>17</v>
      </c>
      <c r="B5" s="10"/>
      <c r="C5" s="11"/>
      <c r="D5" s="10"/>
      <c r="E5" s="11"/>
      <c r="F5" s="10"/>
      <c r="G5" s="11"/>
      <c r="H5" s="10"/>
      <c r="I5" s="11"/>
      <c r="J5" s="10"/>
      <c r="K5" s="11"/>
      <c r="L5" s="10"/>
      <c r="M5" s="11"/>
      <c r="N5" s="10"/>
      <c r="O5" s="11"/>
      <c r="P5" s="10"/>
      <c r="Q5" s="11"/>
      <c r="R5" s="10"/>
      <c r="S5" s="11"/>
      <c r="T5" s="10"/>
      <c r="U5" s="11"/>
      <c r="V5" s="10"/>
      <c r="W5" s="11"/>
      <c r="X5" s="10"/>
      <c r="Y5" s="11"/>
      <c r="Z5" s="10"/>
      <c r="AA5" s="11"/>
      <c r="AB5" s="10"/>
      <c r="AC5" s="11"/>
      <c r="AD5" s="12"/>
      <c r="AE5" s="13"/>
      <c r="AF5" s="65">
        <f t="shared" si="0"/>
        <v>0</v>
      </c>
      <c r="AG5" s="69">
        <f t="shared" si="0"/>
        <v>0</v>
      </c>
      <c r="AH5" s="64">
        <f t="shared" si="1"/>
        <v>0</v>
      </c>
    </row>
    <row r="6" spans="1:39" x14ac:dyDescent="0.2">
      <c r="A6" s="3" t="s">
        <v>18</v>
      </c>
      <c r="B6" s="10"/>
      <c r="C6" s="11"/>
      <c r="D6" s="10"/>
      <c r="E6" s="11"/>
      <c r="F6" s="10"/>
      <c r="G6" s="11"/>
      <c r="H6" s="10"/>
      <c r="I6" s="11"/>
      <c r="J6" s="10"/>
      <c r="K6" s="11"/>
      <c r="L6" s="10"/>
      <c r="M6" s="11"/>
      <c r="N6" s="10"/>
      <c r="O6" s="11"/>
      <c r="P6" s="10"/>
      <c r="Q6" s="11"/>
      <c r="R6" s="10"/>
      <c r="S6" s="11"/>
      <c r="T6" s="10"/>
      <c r="U6" s="11"/>
      <c r="V6" s="10"/>
      <c r="W6" s="11"/>
      <c r="X6" s="10"/>
      <c r="Y6" s="11"/>
      <c r="Z6" s="10"/>
      <c r="AA6" s="11"/>
      <c r="AB6" s="10"/>
      <c r="AC6" s="11"/>
      <c r="AD6" s="12"/>
      <c r="AE6" s="13"/>
      <c r="AF6" s="65">
        <f t="shared" si="0"/>
        <v>0</v>
      </c>
      <c r="AG6" s="69">
        <f t="shared" si="0"/>
        <v>0</v>
      </c>
      <c r="AH6" s="64">
        <f t="shared" si="1"/>
        <v>0</v>
      </c>
    </row>
    <row r="7" spans="1:39" x14ac:dyDescent="0.2">
      <c r="A7" s="3" t="s">
        <v>19</v>
      </c>
      <c r="B7" s="10"/>
      <c r="C7" s="11"/>
      <c r="D7" s="10"/>
      <c r="E7" s="11"/>
      <c r="F7" s="10"/>
      <c r="G7" s="11"/>
      <c r="H7" s="10"/>
      <c r="I7" s="11"/>
      <c r="J7" s="10"/>
      <c r="K7" s="11"/>
      <c r="L7" s="10"/>
      <c r="M7" s="11"/>
      <c r="N7" s="10"/>
      <c r="O7" s="11"/>
      <c r="P7" s="10"/>
      <c r="Q7" s="11"/>
      <c r="R7" s="10"/>
      <c r="S7" s="11"/>
      <c r="T7" s="10"/>
      <c r="U7" s="11"/>
      <c r="V7" s="10"/>
      <c r="W7" s="11"/>
      <c r="X7" s="10"/>
      <c r="Y7" s="11"/>
      <c r="Z7" s="10"/>
      <c r="AA7" s="11"/>
      <c r="AB7" s="10"/>
      <c r="AC7" s="11"/>
      <c r="AD7" s="12"/>
      <c r="AE7" s="13"/>
      <c r="AF7" s="65">
        <f t="shared" si="0"/>
        <v>0</v>
      </c>
      <c r="AG7" s="69">
        <f t="shared" si="0"/>
        <v>0</v>
      </c>
      <c r="AH7" s="64">
        <f t="shared" si="1"/>
        <v>0</v>
      </c>
    </row>
    <row r="8" spans="1:39" x14ac:dyDescent="0.2">
      <c r="A8" s="3" t="s">
        <v>20</v>
      </c>
      <c r="B8" s="10"/>
      <c r="C8" s="11"/>
      <c r="D8" s="10"/>
      <c r="E8" s="11"/>
      <c r="F8" s="10"/>
      <c r="G8" s="11"/>
      <c r="H8" s="10"/>
      <c r="I8" s="11"/>
      <c r="J8" s="10"/>
      <c r="K8" s="11"/>
      <c r="L8" s="10"/>
      <c r="M8" s="11"/>
      <c r="N8" s="10"/>
      <c r="O8" s="11"/>
      <c r="P8" s="10"/>
      <c r="Q8" s="11"/>
      <c r="R8" s="10"/>
      <c r="S8" s="11"/>
      <c r="T8" s="10"/>
      <c r="U8" s="11"/>
      <c r="V8" s="10"/>
      <c r="W8" s="11"/>
      <c r="X8" s="10"/>
      <c r="Y8" s="11"/>
      <c r="Z8" s="10"/>
      <c r="AA8" s="11"/>
      <c r="AB8" s="10"/>
      <c r="AC8" s="11"/>
      <c r="AD8" s="12"/>
      <c r="AE8" s="13"/>
      <c r="AF8" s="65">
        <f t="shared" si="0"/>
        <v>0</v>
      </c>
      <c r="AG8" s="69">
        <f t="shared" si="0"/>
        <v>0</v>
      </c>
      <c r="AH8" s="64">
        <f t="shared" si="1"/>
        <v>0</v>
      </c>
    </row>
    <row r="9" spans="1:39" x14ac:dyDescent="0.2">
      <c r="A9" s="3" t="s">
        <v>21</v>
      </c>
      <c r="B9" s="10"/>
      <c r="C9" s="11"/>
      <c r="D9" s="10"/>
      <c r="E9" s="11"/>
      <c r="F9" s="10"/>
      <c r="G9" s="11"/>
      <c r="H9" s="10"/>
      <c r="I9" s="11"/>
      <c r="J9" s="10"/>
      <c r="K9" s="11"/>
      <c r="L9" s="10"/>
      <c r="M9" s="11"/>
      <c r="N9" s="10"/>
      <c r="O9" s="11"/>
      <c r="P9" s="10"/>
      <c r="Q9" s="11"/>
      <c r="R9" s="10"/>
      <c r="S9" s="11"/>
      <c r="T9" s="10"/>
      <c r="U9" s="11"/>
      <c r="V9" s="10"/>
      <c r="W9" s="11"/>
      <c r="X9" s="10"/>
      <c r="Y9" s="11"/>
      <c r="Z9" s="10"/>
      <c r="AA9" s="11"/>
      <c r="AB9" s="10"/>
      <c r="AC9" s="11"/>
      <c r="AD9" s="12"/>
      <c r="AE9" s="13"/>
      <c r="AF9" s="65">
        <f t="shared" si="0"/>
        <v>0</v>
      </c>
      <c r="AG9" s="69">
        <f t="shared" si="0"/>
        <v>0</v>
      </c>
      <c r="AH9" s="64">
        <f t="shared" si="1"/>
        <v>0</v>
      </c>
    </row>
    <row r="10" spans="1:39" x14ac:dyDescent="0.2">
      <c r="A10" s="3" t="s">
        <v>22</v>
      </c>
      <c r="B10" s="10"/>
      <c r="C10" s="11"/>
      <c r="D10" s="10"/>
      <c r="E10" s="11"/>
      <c r="F10" s="10"/>
      <c r="G10" s="11"/>
      <c r="H10" s="10"/>
      <c r="I10" s="11"/>
      <c r="J10" s="10"/>
      <c r="K10" s="11"/>
      <c r="L10" s="10"/>
      <c r="M10" s="11"/>
      <c r="N10" s="10"/>
      <c r="O10" s="11"/>
      <c r="P10" s="10"/>
      <c r="Q10" s="11"/>
      <c r="R10" s="10"/>
      <c r="S10" s="11"/>
      <c r="T10" s="10"/>
      <c r="U10" s="11"/>
      <c r="V10" s="10"/>
      <c r="W10" s="11"/>
      <c r="X10" s="10"/>
      <c r="Y10" s="11"/>
      <c r="Z10" s="10"/>
      <c r="AA10" s="11"/>
      <c r="AB10" s="10"/>
      <c r="AC10" s="11"/>
      <c r="AD10" s="12"/>
      <c r="AE10" s="13"/>
      <c r="AF10" s="65">
        <f t="shared" si="0"/>
        <v>0</v>
      </c>
      <c r="AG10" s="69">
        <f t="shared" si="0"/>
        <v>0</v>
      </c>
      <c r="AH10" s="64">
        <f t="shared" si="1"/>
        <v>0</v>
      </c>
    </row>
    <row r="11" spans="1:39" x14ac:dyDescent="0.2">
      <c r="A11" s="3" t="s">
        <v>23</v>
      </c>
      <c r="B11" s="10"/>
      <c r="C11" s="11"/>
      <c r="D11" s="10"/>
      <c r="E11" s="11"/>
      <c r="F11" s="10"/>
      <c r="G11" s="11"/>
      <c r="H11" s="10"/>
      <c r="I11" s="11"/>
      <c r="J11" s="10"/>
      <c r="K11" s="11"/>
      <c r="L11" s="10"/>
      <c r="M11" s="11">
        <f>51084/12*6</f>
        <v>25542</v>
      </c>
      <c r="N11" s="10"/>
      <c r="O11" s="11"/>
      <c r="P11" s="10"/>
      <c r="Q11" s="11"/>
      <c r="R11" s="10"/>
      <c r="S11" s="95">
        <f>51084/12*2+51084/2</f>
        <v>34056</v>
      </c>
      <c r="T11" s="10"/>
      <c r="U11" s="11"/>
      <c r="V11" s="10"/>
      <c r="W11" s="11"/>
      <c r="X11" s="10"/>
      <c r="Y11" s="79">
        <f>51084/2</f>
        <v>25542</v>
      </c>
      <c r="Z11" s="10"/>
      <c r="AA11" s="11"/>
      <c r="AB11" s="10"/>
      <c r="AC11" s="77">
        <f>51084/12*10</f>
        <v>42570</v>
      </c>
      <c r="AD11" s="12"/>
      <c r="AE11" s="98">
        <f>51084/12*6</f>
        <v>25542</v>
      </c>
      <c r="AF11" s="65">
        <f t="shared" si="0"/>
        <v>0</v>
      </c>
      <c r="AG11" s="69">
        <f t="shared" si="0"/>
        <v>153252</v>
      </c>
      <c r="AH11" s="64">
        <f t="shared" si="1"/>
        <v>153252</v>
      </c>
      <c r="AJ11" t="s">
        <v>208</v>
      </c>
      <c r="AM11" t="s">
        <v>209</v>
      </c>
    </row>
    <row r="12" spans="1:39" x14ac:dyDescent="0.2">
      <c r="A12" s="3" t="s">
        <v>24</v>
      </c>
      <c r="B12" s="10"/>
      <c r="C12" s="11"/>
      <c r="D12" s="10"/>
      <c r="E12" s="11"/>
      <c r="F12" s="10"/>
      <c r="G12" s="11"/>
      <c r="H12" s="10"/>
      <c r="I12" s="11"/>
      <c r="J12" s="10"/>
      <c r="K12" s="11"/>
      <c r="L12" s="10"/>
      <c r="M12" s="11"/>
      <c r="N12" s="10"/>
      <c r="O12" s="11"/>
      <c r="P12" s="10"/>
      <c r="Q12" s="11"/>
      <c r="R12" s="10"/>
      <c r="S12" s="11"/>
      <c r="T12" s="10"/>
      <c r="U12" s="11"/>
      <c r="V12" s="10"/>
      <c r="W12" s="11"/>
      <c r="X12" s="10"/>
      <c r="Y12" s="11"/>
      <c r="Z12" s="10"/>
      <c r="AA12" s="11"/>
      <c r="AB12" s="10"/>
      <c r="AC12" s="11"/>
      <c r="AD12" s="12"/>
      <c r="AE12" s="13"/>
      <c r="AF12" s="65">
        <f t="shared" si="0"/>
        <v>0</v>
      </c>
      <c r="AG12" s="69">
        <f t="shared" si="0"/>
        <v>0</v>
      </c>
      <c r="AH12" s="64">
        <f t="shared" si="1"/>
        <v>0</v>
      </c>
    </row>
    <row r="13" spans="1:39" ht="17" thickBot="1" x14ac:dyDescent="0.25">
      <c r="A13" s="4" t="s">
        <v>25</v>
      </c>
      <c r="B13" s="14"/>
      <c r="C13" s="15"/>
      <c r="D13" s="14"/>
      <c r="E13" s="15"/>
      <c r="F13" s="14"/>
      <c r="G13" s="15"/>
      <c r="H13" s="14"/>
      <c r="I13" s="15"/>
      <c r="J13" s="14"/>
      <c r="K13" s="15"/>
      <c r="L13" s="14"/>
      <c r="M13" s="15"/>
      <c r="N13" s="14"/>
      <c r="O13" s="15"/>
      <c r="P13" s="14"/>
      <c r="Q13" s="15"/>
      <c r="R13" s="14"/>
      <c r="S13" s="15"/>
      <c r="T13" s="14"/>
      <c r="U13" s="15"/>
      <c r="V13" s="14"/>
      <c r="W13" s="15"/>
      <c r="X13" s="14"/>
      <c r="Y13" s="15"/>
      <c r="Z13" s="14"/>
      <c r="AA13" s="15"/>
      <c r="AB13" s="14"/>
      <c r="AC13" s="15"/>
      <c r="AD13" s="16"/>
      <c r="AE13" s="17"/>
      <c r="AF13" s="66">
        <f t="shared" si="0"/>
        <v>0</v>
      </c>
      <c r="AG13" s="70">
        <f t="shared" si="0"/>
        <v>0</v>
      </c>
      <c r="AH13" s="70">
        <f t="shared" si="1"/>
        <v>0</v>
      </c>
    </row>
    <row r="14" spans="1:39" ht="17" thickBot="1" x14ac:dyDescent="0.25">
      <c r="A14" s="5" t="s">
        <v>26</v>
      </c>
      <c r="B14" s="18">
        <f>SUM(B3:B13)</f>
        <v>0</v>
      </c>
      <c r="C14" s="19">
        <f t="shared" ref="C14:AE14" si="2">SUM(C3:C13)</f>
        <v>0</v>
      </c>
      <c r="D14" s="18">
        <f t="shared" si="2"/>
        <v>0</v>
      </c>
      <c r="E14" s="19">
        <f t="shared" si="2"/>
        <v>0</v>
      </c>
      <c r="F14" s="18">
        <f>SUM(F3:F13)</f>
        <v>0</v>
      </c>
      <c r="G14" s="19">
        <f>SUM(G3:G13)</f>
        <v>0</v>
      </c>
      <c r="H14" s="18">
        <f t="shared" si="2"/>
        <v>0</v>
      </c>
      <c r="I14" s="19">
        <f t="shared" si="2"/>
        <v>0</v>
      </c>
      <c r="J14" s="18">
        <f t="shared" si="2"/>
        <v>0</v>
      </c>
      <c r="K14" s="19">
        <f t="shared" si="2"/>
        <v>0</v>
      </c>
      <c r="L14" s="18">
        <f t="shared" si="2"/>
        <v>0</v>
      </c>
      <c r="M14" s="19">
        <f t="shared" si="2"/>
        <v>25542</v>
      </c>
      <c r="N14" s="18">
        <f t="shared" si="2"/>
        <v>0</v>
      </c>
      <c r="O14" s="19">
        <f t="shared" si="2"/>
        <v>0</v>
      </c>
      <c r="P14" s="18">
        <f t="shared" si="2"/>
        <v>0</v>
      </c>
      <c r="Q14" s="19">
        <f t="shared" si="2"/>
        <v>50160</v>
      </c>
      <c r="R14" s="18">
        <f t="shared" si="2"/>
        <v>0</v>
      </c>
      <c r="S14" s="19">
        <f t="shared" si="2"/>
        <v>34056</v>
      </c>
      <c r="T14" s="18">
        <f t="shared" si="2"/>
        <v>0</v>
      </c>
      <c r="U14" s="19">
        <f t="shared" si="2"/>
        <v>0</v>
      </c>
      <c r="V14" s="18">
        <f t="shared" si="2"/>
        <v>0</v>
      </c>
      <c r="W14" s="19">
        <f t="shared" si="2"/>
        <v>0</v>
      </c>
      <c r="X14" s="18">
        <f t="shared" si="2"/>
        <v>0</v>
      </c>
      <c r="Y14" s="19">
        <f t="shared" si="2"/>
        <v>25542</v>
      </c>
      <c r="Z14" s="18">
        <f t="shared" si="2"/>
        <v>0</v>
      </c>
      <c r="AA14" s="19">
        <f t="shared" si="2"/>
        <v>0</v>
      </c>
      <c r="AB14" s="18">
        <f t="shared" si="2"/>
        <v>0</v>
      </c>
      <c r="AC14" s="19">
        <f t="shared" si="2"/>
        <v>92730</v>
      </c>
      <c r="AD14" s="20">
        <f t="shared" si="2"/>
        <v>0</v>
      </c>
      <c r="AE14" s="21">
        <f t="shared" si="2"/>
        <v>25542</v>
      </c>
      <c r="AF14" s="67">
        <f t="shared" si="0"/>
        <v>0</v>
      </c>
      <c r="AG14" s="71">
        <f t="shared" si="0"/>
        <v>253572</v>
      </c>
      <c r="AH14" s="71">
        <f t="shared" si="1"/>
        <v>253572</v>
      </c>
    </row>
    <row r="15" spans="1:39" ht="17" thickBot="1" x14ac:dyDescent="0.25">
      <c r="A15" s="6" t="s">
        <v>29</v>
      </c>
      <c r="B15" s="123">
        <f>B14+C14</f>
        <v>0</v>
      </c>
      <c r="C15" s="124"/>
      <c r="D15" s="123">
        <f>D14+E14</f>
        <v>0</v>
      </c>
      <c r="E15" s="124"/>
      <c r="F15" s="123">
        <f>F14+G14</f>
        <v>0</v>
      </c>
      <c r="G15" s="124"/>
      <c r="H15" s="123">
        <f>H14+I14</f>
        <v>0</v>
      </c>
      <c r="I15" s="124"/>
      <c r="J15" s="123">
        <f>J14+K14</f>
        <v>0</v>
      </c>
      <c r="K15" s="124"/>
      <c r="L15" s="123">
        <f>L14+M14</f>
        <v>25542</v>
      </c>
      <c r="M15" s="124"/>
      <c r="N15" s="123">
        <f>N14+O14</f>
        <v>0</v>
      </c>
      <c r="O15" s="124"/>
      <c r="P15" s="123">
        <f>P14+Q14</f>
        <v>50160</v>
      </c>
      <c r="Q15" s="124"/>
      <c r="R15" s="92">
        <f>51084/2</f>
        <v>25542</v>
      </c>
      <c r="S15" s="93">
        <f>51084/12*2</f>
        <v>8514</v>
      </c>
      <c r="T15" s="123">
        <f>T14+U14</f>
        <v>0</v>
      </c>
      <c r="U15" s="124"/>
      <c r="V15" s="123">
        <f>V14+W14</f>
        <v>0</v>
      </c>
      <c r="W15" s="124"/>
      <c r="X15" s="123">
        <f>X14+Y14</f>
        <v>25542</v>
      </c>
      <c r="Y15" s="124"/>
      <c r="Z15" s="123">
        <f>Z14+AA14</f>
        <v>0</v>
      </c>
      <c r="AA15" s="124"/>
      <c r="AB15" s="92">
        <f>AC3</f>
        <v>50160</v>
      </c>
      <c r="AC15" s="93">
        <f>AC11</f>
        <v>42570</v>
      </c>
      <c r="AD15" s="92">
        <f>AE14/2</f>
        <v>12771</v>
      </c>
      <c r="AE15" s="94">
        <f>AE14/2</f>
        <v>12771</v>
      </c>
      <c r="AF15" s="117">
        <f>AF14+AG14</f>
        <v>253572</v>
      </c>
      <c r="AG15" s="118"/>
      <c r="AH15" s="72">
        <f t="shared" ref="AH15" si="3">SUM(B15:AE15)</f>
        <v>253572</v>
      </c>
    </row>
    <row r="16" spans="1:39" ht="17" thickBot="1" x14ac:dyDescent="0.25">
      <c r="A16" s="6" t="s">
        <v>254</v>
      </c>
      <c r="B16" s="123">
        <f>1.07*B15</f>
        <v>0</v>
      </c>
      <c r="C16" s="124"/>
      <c r="D16" s="123">
        <f t="shared" ref="D16" si="4">1.07*D15</f>
        <v>0</v>
      </c>
      <c r="E16" s="124"/>
      <c r="F16" s="123">
        <f t="shared" ref="F16" si="5">1.07*F15</f>
        <v>0</v>
      </c>
      <c r="G16" s="124"/>
      <c r="H16" s="123">
        <f t="shared" ref="H16" si="6">1.07*H15</f>
        <v>0</v>
      </c>
      <c r="I16" s="124"/>
      <c r="J16" s="123">
        <f t="shared" ref="J16" si="7">1.07*J15</f>
        <v>0</v>
      </c>
      <c r="K16" s="124"/>
      <c r="L16" s="123">
        <f t="shared" ref="L16" si="8">1.07*L15</f>
        <v>27329.940000000002</v>
      </c>
      <c r="M16" s="124"/>
      <c r="N16" s="123">
        <f t="shared" ref="N16" si="9">1.07*N15</f>
        <v>0</v>
      </c>
      <c r="O16" s="124"/>
      <c r="P16" s="123">
        <f t="shared" ref="P16" si="10">1.07*P15</f>
        <v>53671.200000000004</v>
      </c>
      <c r="Q16" s="124"/>
      <c r="R16" s="92">
        <f t="shared" ref="R16" si="11">1.07*R15</f>
        <v>27329.940000000002</v>
      </c>
      <c r="S16" s="93">
        <f t="shared" ref="S16" si="12">1.07*S15</f>
        <v>9109.9800000000014</v>
      </c>
      <c r="T16" s="123">
        <f t="shared" ref="T16" si="13">1.07*T15</f>
        <v>0</v>
      </c>
      <c r="U16" s="124"/>
      <c r="V16" s="123">
        <f t="shared" ref="V16" si="14">1.07*V15</f>
        <v>0</v>
      </c>
      <c r="W16" s="124"/>
      <c r="X16" s="123">
        <f t="shared" ref="X16" si="15">1.07*X15</f>
        <v>27329.940000000002</v>
      </c>
      <c r="Y16" s="124"/>
      <c r="Z16" s="123">
        <f t="shared" ref="Z16" si="16">1.07*Z15</f>
        <v>0</v>
      </c>
      <c r="AA16" s="124"/>
      <c r="AB16" s="92">
        <f t="shared" ref="AB16:AC16" si="17">1.07*AB15</f>
        <v>53671.200000000004</v>
      </c>
      <c r="AC16" s="93">
        <f t="shared" si="17"/>
        <v>45549.9</v>
      </c>
      <c r="AD16" s="92">
        <f t="shared" ref="AD16" si="18">1.07*AD15</f>
        <v>13664.970000000001</v>
      </c>
      <c r="AE16" s="94">
        <f t="shared" ref="AE16" si="19">1.07*AE15</f>
        <v>13664.970000000001</v>
      </c>
      <c r="AF16" s="117">
        <f t="shared" ref="AF16" si="20">1.07*AF15</f>
        <v>271322.04000000004</v>
      </c>
      <c r="AG16" s="118"/>
      <c r="AH16" s="72">
        <f t="shared" ref="AH16" si="21">1.07*AH15</f>
        <v>271322.04000000004</v>
      </c>
    </row>
    <row r="18" spans="1:31" ht="17" thickBot="1" x14ac:dyDescent="0.25"/>
    <row r="19" spans="1:31" x14ac:dyDescent="0.2">
      <c r="A19" s="51" t="s">
        <v>33</v>
      </c>
      <c r="B19" s="125"/>
      <c r="C19" s="126"/>
      <c r="D19" s="125"/>
      <c r="E19" s="126"/>
      <c r="F19" s="125"/>
      <c r="G19" s="126"/>
      <c r="H19" s="125"/>
      <c r="I19" s="126"/>
      <c r="J19" s="125"/>
      <c r="K19" s="126"/>
      <c r="L19" s="125" t="s">
        <v>268</v>
      </c>
      <c r="M19" s="126"/>
      <c r="N19" s="125"/>
      <c r="O19" s="126"/>
      <c r="P19" s="125" t="s">
        <v>269</v>
      </c>
      <c r="Q19" s="126"/>
      <c r="R19" s="97" t="s">
        <v>270</v>
      </c>
      <c r="S19" s="102" t="s">
        <v>271</v>
      </c>
      <c r="T19" s="125"/>
      <c r="U19" s="126"/>
      <c r="V19" s="125"/>
      <c r="W19" s="126"/>
      <c r="X19" s="125" t="s">
        <v>272</v>
      </c>
      <c r="Y19" s="126"/>
      <c r="Z19" s="125"/>
      <c r="AA19" s="126"/>
      <c r="AB19" s="97" t="s">
        <v>273</v>
      </c>
      <c r="AC19" s="102" t="s">
        <v>274</v>
      </c>
      <c r="AD19" s="97" t="s">
        <v>275</v>
      </c>
      <c r="AE19" s="82" t="s">
        <v>509</v>
      </c>
    </row>
    <row r="20" spans="1:31" ht="17" thickBot="1" x14ac:dyDescent="0.25">
      <c r="A20" s="52" t="s">
        <v>35</v>
      </c>
      <c r="B20" s="104"/>
      <c r="C20" s="105"/>
      <c r="D20" s="106"/>
      <c r="E20" s="107"/>
      <c r="F20" s="104"/>
      <c r="G20" s="107"/>
      <c r="H20" s="104"/>
      <c r="I20" s="107"/>
      <c r="J20" s="104"/>
      <c r="K20" s="107"/>
      <c r="L20" s="114" t="s">
        <v>532</v>
      </c>
      <c r="M20" s="115"/>
      <c r="N20" s="104"/>
      <c r="O20" s="107"/>
      <c r="P20" s="114" t="s">
        <v>533</v>
      </c>
      <c r="Q20" s="115"/>
      <c r="R20" s="104" t="s">
        <v>534</v>
      </c>
      <c r="S20" s="109" t="s">
        <v>535</v>
      </c>
      <c r="T20" s="104"/>
      <c r="U20" s="107"/>
      <c r="V20" s="104"/>
      <c r="W20" s="105"/>
      <c r="X20" s="114" t="s">
        <v>536</v>
      </c>
      <c r="Y20" s="115"/>
      <c r="Z20" s="106"/>
      <c r="AA20" s="107"/>
      <c r="AB20" s="104" t="s">
        <v>537</v>
      </c>
      <c r="AC20" s="109" t="s">
        <v>538</v>
      </c>
      <c r="AD20" s="104" t="s">
        <v>539</v>
      </c>
      <c r="AE20" s="110" t="s">
        <v>540</v>
      </c>
    </row>
    <row r="21" spans="1:31" x14ac:dyDescent="0.2">
      <c r="M21" s="96"/>
      <c r="Y21" s="96"/>
      <c r="AB21" s="96"/>
    </row>
    <row r="25" spans="1:31" x14ac:dyDescent="0.2">
      <c r="A25" s="60" t="s">
        <v>268</v>
      </c>
      <c r="B25" t="s">
        <v>479</v>
      </c>
    </row>
    <row r="26" spans="1:31" x14ac:dyDescent="0.2">
      <c r="B26" t="s">
        <v>281</v>
      </c>
      <c r="C26" s="96" t="s">
        <v>480</v>
      </c>
      <c r="D26" s="96"/>
    </row>
    <row r="27" spans="1:31" x14ac:dyDescent="0.2">
      <c r="B27" s="60" t="s">
        <v>34</v>
      </c>
      <c r="C27" s="96" t="s">
        <v>482</v>
      </c>
      <c r="D27" s="96"/>
    </row>
    <row r="28" spans="1:31" x14ac:dyDescent="0.2">
      <c r="C28" s="100" t="s">
        <v>532</v>
      </c>
      <c r="D28" s="101" t="s">
        <v>481</v>
      </c>
    </row>
    <row r="30" spans="1:31" x14ac:dyDescent="0.2">
      <c r="A30" s="60" t="s">
        <v>269</v>
      </c>
      <c r="B30" t="s">
        <v>505</v>
      </c>
    </row>
    <row r="31" spans="1:31" x14ac:dyDescent="0.2">
      <c r="B31" t="s">
        <v>281</v>
      </c>
      <c r="C31" s="96" t="s">
        <v>506</v>
      </c>
      <c r="D31" s="96"/>
    </row>
    <row r="32" spans="1:31" x14ac:dyDescent="0.2">
      <c r="B32" s="60" t="s">
        <v>34</v>
      </c>
      <c r="C32" s="96" t="s">
        <v>507</v>
      </c>
      <c r="D32" s="96"/>
    </row>
    <row r="33" spans="1:4" x14ac:dyDescent="0.2">
      <c r="C33" s="60" t="s">
        <v>533</v>
      </c>
      <c r="D33" s="90" t="s">
        <v>508</v>
      </c>
    </row>
    <row r="35" spans="1:4" x14ac:dyDescent="0.2">
      <c r="A35" s="60" t="s">
        <v>270</v>
      </c>
      <c r="B35" t="s">
        <v>485</v>
      </c>
    </row>
    <row r="36" spans="1:4" x14ac:dyDescent="0.2">
      <c r="B36" t="s">
        <v>281</v>
      </c>
      <c r="C36" s="96" t="s">
        <v>486</v>
      </c>
      <c r="D36" s="96"/>
    </row>
    <row r="37" spans="1:4" x14ac:dyDescent="0.2">
      <c r="B37" s="60" t="s">
        <v>34</v>
      </c>
      <c r="C37" s="96" t="s">
        <v>488</v>
      </c>
      <c r="D37" s="96"/>
    </row>
    <row r="38" spans="1:4" x14ac:dyDescent="0.2">
      <c r="C38" s="60" t="s">
        <v>534</v>
      </c>
      <c r="D38" s="90" t="s">
        <v>487</v>
      </c>
    </row>
    <row r="40" spans="1:4" x14ac:dyDescent="0.2">
      <c r="A40" s="60" t="s">
        <v>271</v>
      </c>
      <c r="B40" t="s">
        <v>277</v>
      </c>
    </row>
    <row r="41" spans="1:4" x14ac:dyDescent="0.2">
      <c r="B41" t="s">
        <v>281</v>
      </c>
      <c r="C41" s="96" t="s">
        <v>493</v>
      </c>
      <c r="D41" s="96"/>
    </row>
    <row r="42" spans="1:4" x14ac:dyDescent="0.2">
      <c r="B42" s="60" t="s">
        <v>34</v>
      </c>
      <c r="C42" s="96" t="s">
        <v>495</v>
      </c>
      <c r="D42" s="96"/>
    </row>
    <row r="43" spans="1:4" x14ac:dyDescent="0.2">
      <c r="C43" s="60" t="s">
        <v>535</v>
      </c>
      <c r="D43" s="90" t="s">
        <v>494</v>
      </c>
    </row>
    <row r="45" spans="1:4" x14ac:dyDescent="0.2">
      <c r="A45" s="60" t="s">
        <v>272</v>
      </c>
      <c r="B45" t="s">
        <v>276</v>
      </c>
    </row>
    <row r="46" spans="1:4" x14ac:dyDescent="0.2">
      <c r="B46" t="s">
        <v>281</v>
      </c>
      <c r="C46" s="96" t="s">
        <v>483</v>
      </c>
      <c r="D46" s="96"/>
    </row>
    <row r="47" spans="1:4" x14ac:dyDescent="0.2">
      <c r="B47" s="60" t="s">
        <v>34</v>
      </c>
      <c r="C47" s="96" t="s">
        <v>484</v>
      </c>
      <c r="D47" s="96"/>
    </row>
    <row r="48" spans="1:4" x14ac:dyDescent="0.2">
      <c r="C48" s="60" t="s">
        <v>536</v>
      </c>
      <c r="D48" s="90" t="s">
        <v>481</v>
      </c>
    </row>
    <row r="50" spans="1:4" x14ac:dyDescent="0.2">
      <c r="A50" s="60" t="s">
        <v>273</v>
      </c>
      <c r="B50" t="s">
        <v>511</v>
      </c>
    </row>
    <row r="51" spans="1:4" x14ac:dyDescent="0.2">
      <c r="B51" t="s">
        <v>281</v>
      </c>
      <c r="C51" s="96" t="s">
        <v>510</v>
      </c>
      <c r="D51" s="96"/>
    </row>
    <row r="52" spans="1:4" x14ac:dyDescent="0.2">
      <c r="B52" s="60" t="s">
        <v>34</v>
      </c>
      <c r="C52" s="96" t="s">
        <v>512</v>
      </c>
      <c r="D52" s="96"/>
    </row>
    <row r="53" spans="1:4" x14ac:dyDescent="0.2">
      <c r="C53" s="60" t="s">
        <v>537</v>
      </c>
      <c r="D53" s="90" t="s">
        <v>508</v>
      </c>
    </row>
    <row r="54" spans="1:4" x14ac:dyDescent="0.2">
      <c r="A54" s="60"/>
    </row>
    <row r="55" spans="1:4" x14ac:dyDescent="0.2">
      <c r="A55" s="60" t="s">
        <v>274</v>
      </c>
      <c r="B55" t="s">
        <v>496</v>
      </c>
    </row>
    <row r="56" spans="1:4" x14ac:dyDescent="0.2">
      <c r="B56" t="s">
        <v>281</v>
      </c>
      <c r="C56" s="96" t="s">
        <v>497</v>
      </c>
      <c r="D56" s="96"/>
    </row>
    <row r="57" spans="1:4" x14ac:dyDescent="0.2">
      <c r="B57" s="60" t="s">
        <v>34</v>
      </c>
      <c r="C57" s="96" t="s">
        <v>499</v>
      </c>
      <c r="D57" s="96"/>
    </row>
    <row r="58" spans="1:4" x14ac:dyDescent="0.2">
      <c r="C58" s="60" t="s">
        <v>538</v>
      </c>
      <c r="D58" s="90" t="s">
        <v>498</v>
      </c>
    </row>
    <row r="60" spans="1:4" x14ac:dyDescent="0.2">
      <c r="A60" s="60" t="s">
        <v>275</v>
      </c>
      <c r="B60" t="s">
        <v>489</v>
      </c>
    </row>
    <row r="61" spans="1:4" x14ac:dyDescent="0.2">
      <c r="B61" t="s">
        <v>281</v>
      </c>
      <c r="C61" s="96" t="s">
        <v>490</v>
      </c>
      <c r="D61" s="96"/>
    </row>
    <row r="62" spans="1:4" x14ac:dyDescent="0.2">
      <c r="B62" s="60" t="s">
        <v>34</v>
      </c>
      <c r="C62" s="96" t="s">
        <v>492</v>
      </c>
      <c r="D62" s="96"/>
    </row>
    <row r="63" spans="1:4" x14ac:dyDescent="0.2">
      <c r="C63" s="60" t="s">
        <v>539</v>
      </c>
      <c r="D63" s="90" t="s">
        <v>491</v>
      </c>
    </row>
    <row r="65" spans="1:4" x14ac:dyDescent="0.2">
      <c r="A65" s="60" t="s">
        <v>509</v>
      </c>
      <c r="B65" t="s">
        <v>500</v>
      </c>
    </row>
    <row r="66" spans="1:4" x14ac:dyDescent="0.2">
      <c r="B66" t="s">
        <v>281</v>
      </c>
      <c r="C66" s="96" t="s">
        <v>501</v>
      </c>
      <c r="D66" s="96"/>
    </row>
    <row r="67" spans="1:4" x14ac:dyDescent="0.2">
      <c r="B67" s="60" t="s">
        <v>34</v>
      </c>
      <c r="C67" s="96" t="s">
        <v>504</v>
      </c>
      <c r="D67" s="96"/>
    </row>
    <row r="68" spans="1:4" x14ac:dyDescent="0.2">
      <c r="C68" s="60" t="s">
        <v>540</v>
      </c>
      <c r="D68" s="90" t="s">
        <v>502</v>
      </c>
    </row>
    <row r="70" spans="1:4" x14ac:dyDescent="0.2">
      <c r="C70" s="96"/>
      <c r="D70" s="96"/>
    </row>
    <row r="71" spans="1:4" x14ac:dyDescent="0.2">
      <c r="B71" s="60"/>
      <c r="C71" s="96"/>
      <c r="D71" s="96"/>
    </row>
    <row r="72" spans="1:4" x14ac:dyDescent="0.2">
      <c r="C72" s="60"/>
      <c r="D72" s="90"/>
    </row>
    <row r="74" spans="1:4" x14ac:dyDescent="0.2">
      <c r="A74" s="60"/>
    </row>
    <row r="75" spans="1:4" x14ac:dyDescent="0.2">
      <c r="C75" s="96"/>
      <c r="D75" s="96"/>
    </row>
    <row r="76" spans="1:4" x14ac:dyDescent="0.2">
      <c r="B76" s="60"/>
      <c r="C76" s="96"/>
      <c r="D76" s="96"/>
    </row>
    <row r="77" spans="1:4" x14ac:dyDescent="0.2">
      <c r="C77" s="60"/>
      <c r="D77" s="90"/>
    </row>
  </sheetData>
  <sheetProtection algorithmName="SHA-512" hashValue="abBC+gD6fwBsXRKLZO5OdKqlyR5/OBiRUHc0BshMoFq1LygMXyWAkYfPtkqIR8Y3U48O+njQLdS1LVcCoMQnCw==" saltValue="Pv7X+uY3u3iF583YsJxDJw==" spinCount="100000" sheet="1" objects="1" scenarios="1"/>
  <mergeCells count="58">
    <mergeCell ref="L19:M19"/>
    <mergeCell ref="AF15:AG15"/>
    <mergeCell ref="L1:M1"/>
    <mergeCell ref="B1:C1"/>
    <mergeCell ref="D1:E1"/>
    <mergeCell ref="F1:G1"/>
    <mergeCell ref="H1:I1"/>
    <mergeCell ref="J1:K1"/>
    <mergeCell ref="Z1:AA1"/>
    <mergeCell ref="AB1:AC1"/>
    <mergeCell ref="AD1:AE1"/>
    <mergeCell ref="B15:C15"/>
    <mergeCell ref="D15:E15"/>
    <mergeCell ref="F15:G15"/>
    <mergeCell ref="H15:I15"/>
    <mergeCell ref="J15:K15"/>
    <mergeCell ref="L15:M15"/>
    <mergeCell ref="N15:O15"/>
    <mergeCell ref="N1:O1"/>
    <mergeCell ref="P1:Q1"/>
    <mergeCell ref="R1:S1"/>
    <mergeCell ref="B19:C19"/>
    <mergeCell ref="D19:E19"/>
    <mergeCell ref="F19:G19"/>
    <mergeCell ref="H19:I19"/>
    <mergeCell ref="J19:K19"/>
    <mergeCell ref="AH1:AH2"/>
    <mergeCell ref="B16:C16"/>
    <mergeCell ref="D16:E16"/>
    <mergeCell ref="F16:G16"/>
    <mergeCell ref="H16:I16"/>
    <mergeCell ref="J16:K16"/>
    <mergeCell ref="L16:M16"/>
    <mergeCell ref="N16:O16"/>
    <mergeCell ref="P16:Q16"/>
    <mergeCell ref="T16:U16"/>
    <mergeCell ref="V16:W16"/>
    <mergeCell ref="X16:Y16"/>
    <mergeCell ref="T1:U1"/>
    <mergeCell ref="V1:W1"/>
    <mergeCell ref="Z16:AA16"/>
    <mergeCell ref="X1:Y1"/>
    <mergeCell ref="X20:Y20"/>
    <mergeCell ref="P20:Q20"/>
    <mergeCell ref="L20:M20"/>
    <mergeCell ref="AF16:AG16"/>
    <mergeCell ref="AF1:AG1"/>
    <mergeCell ref="N19:O19"/>
    <mergeCell ref="P19:Q19"/>
    <mergeCell ref="T19:U19"/>
    <mergeCell ref="V19:W19"/>
    <mergeCell ref="X19:Y19"/>
    <mergeCell ref="Z19:AA19"/>
    <mergeCell ref="P15:Q15"/>
    <mergeCell ref="T15:U15"/>
    <mergeCell ref="V15:W15"/>
    <mergeCell ref="X15:Y15"/>
    <mergeCell ref="Z15:AA15"/>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54"/>
  <sheetViews>
    <sheetView zoomScale="115" workbookViewId="0">
      <pane xSplit="1" topLeftCell="B1" activePane="topRight" state="frozen"/>
      <selection pane="topRight" activeCell="AE23" sqref="AE23"/>
    </sheetView>
  </sheetViews>
  <sheetFormatPr baseColWidth="10" defaultColWidth="11.1640625" defaultRowHeight="16" x14ac:dyDescent="0.2"/>
  <cols>
    <col min="1" max="1" width="15.83203125" customWidth="1"/>
    <col min="5" max="6" width="11.6640625" bestFit="1" customWidth="1"/>
    <col min="8" max="8" width="11.6640625" bestFit="1" customWidth="1"/>
    <col min="13" max="13" width="11.6640625" bestFit="1" customWidth="1"/>
    <col min="17" max="19" width="11.6640625" bestFit="1" customWidth="1"/>
    <col min="24" max="25" width="11.6640625" bestFit="1" customWidth="1"/>
    <col min="29" max="29" width="13.1640625" customWidth="1"/>
    <col min="31" max="32" width="11.6640625" bestFit="1" customWidth="1"/>
    <col min="33" max="33" width="14.6640625" customWidth="1"/>
    <col min="34" max="34" width="14.83203125" customWidth="1"/>
  </cols>
  <sheetData>
    <row r="1" spans="1:50"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50"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50" x14ac:dyDescent="0.2">
      <c r="A3" s="3" t="s">
        <v>15</v>
      </c>
      <c r="B3" s="10"/>
      <c r="C3" s="11"/>
      <c r="D3" s="10"/>
      <c r="E3" s="11"/>
      <c r="F3" s="10"/>
      <c r="H3" s="10"/>
      <c r="I3" s="11"/>
      <c r="J3" s="10"/>
      <c r="K3" s="11"/>
      <c r="L3" s="10"/>
      <c r="M3" s="11"/>
      <c r="N3" s="10"/>
      <c r="O3" s="11"/>
      <c r="P3" s="10"/>
      <c r="Q3" s="11"/>
      <c r="R3" s="10"/>
      <c r="S3" s="47">
        <f>2*50160/2</f>
        <v>50160</v>
      </c>
      <c r="T3" s="10"/>
      <c r="U3" s="11"/>
      <c r="V3" s="10"/>
      <c r="W3" s="11"/>
      <c r="X3" s="10">
        <f>1.22*83000</f>
        <v>101260</v>
      </c>
      <c r="Y3" s="11">
        <f>50160/2+4*50160/2+2*50160/2</f>
        <v>175560</v>
      </c>
      <c r="Z3" s="10"/>
      <c r="AA3" s="11"/>
      <c r="AB3" s="10"/>
      <c r="AC3" s="11"/>
      <c r="AD3" s="12"/>
      <c r="AE3" s="13">
        <f>50160/2+4*50160/2</f>
        <v>125400</v>
      </c>
      <c r="AF3" s="65">
        <f>B3+D3+F3+H3+J3+L3+N3+P3+R3+T3+V3+X3+Z3+AB3+AD3</f>
        <v>101260</v>
      </c>
      <c r="AG3" s="69">
        <f>C3+E3+G3+I3+K3+M3+O3+Q3+S3+U3+W3+Y3+AA3+AC3+AE3</f>
        <v>351120</v>
      </c>
      <c r="AH3" s="64">
        <f>AF3+AG3</f>
        <v>452380</v>
      </c>
      <c r="AJ3" t="s">
        <v>111</v>
      </c>
      <c r="AM3" t="s">
        <v>120</v>
      </c>
      <c r="AQ3" t="s">
        <v>121</v>
      </c>
    </row>
    <row r="4" spans="1:50" x14ac:dyDescent="0.2">
      <c r="A4" s="3" t="s">
        <v>16</v>
      </c>
      <c r="B4" s="10"/>
      <c r="C4" s="11"/>
      <c r="D4" s="10"/>
      <c r="E4" s="11"/>
      <c r="F4" s="10"/>
      <c r="G4" s="11"/>
      <c r="H4" s="10"/>
      <c r="I4" s="11"/>
      <c r="J4" s="10"/>
      <c r="K4" s="11"/>
      <c r="L4" s="10"/>
      <c r="M4" s="11"/>
      <c r="N4" s="10"/>
      <c r="O4" s="11"/>
      <c r="P4" s="10"/>
      <c r="Q4" s="11"/>
      <c r="R4" s="10"/>
      <c r="S4" s="11"/>
      <c r="T4" s="10"/>
      <c r="U4" s="11"/>
      <c r="V4" s="10"/>
      <c r="W4" s="11"/>
      <c r="X4" s="10"/>
      <c r="Y4" s="11">
        <f>50160/12*4</f>
        <v>16720</v>
      </c>
      <c r="Z4" s="10"/>
      <c r="AA4" s="11"/>
      <c r="AB4" s="10"/>
      <c r="AC4" s="11"/>
      <c r="AD4" s="12"/>
      <c r="AE4" s="13"/>
      <c r="AF4" s="65">
        <f t="shared" ref="AF4:AG14" si="0">B4+D4+F4+H4+J4+L4+N4+P4+R4+T4+V4+X4+Z4+AB4+AD4</f>
        <v>0</v>
      </c>
      <c r="AG4" s="69">
        <f t="shared" si="0"/>
        <v>16720</v>
      </c>
      <c r="AH4" s="64">
        <f t="shared" ref="AH4:AH14" si="1">AF4+AG4</f>
        <v>16720</v>
      </c>
      <c r="AJ4" t="s">
        <v>100</v>
      </c>
    </row>
    <row r="5" spans="1:50" x14ac:dyDescent="0.2">
      <c r="A5" s="3" t="s">
        <v>17</v>
      </c>
      <c r="B5" s="10"/>
      <c r="C5" s="11"/>
      <c r="D5" s="10"/>
      <c r="E5" s="11"/>
      <c r="F5" s="10"/>
      <c r="G5" s="11"/>
      <c r="H5" s="10"/>
      <c r="I5" s="11"/>
      <c r="J5" s="10"/>
      <c r="K5" s="11"/>
      <c r="L5" s="10"/>
      <c r="M5" s="11"/>
      <c r="N5" s="10"/>
      <c r="O5" s="11"/>
      <c r="P5" s="10"/>
      <c r="Q5" s="11"/>
      <c r="R5" s="10"/>
      <c r="S5" s="11"/>
      <c r="T5" s="10"/>
      <c r="U5" s="11"/>
      <c r="V5" s="10"/>
      <c r="W5" s="11"/>
      <c r="X5" s="10"/>
      <c r="Y5" s="11"/>
      <c r="Z5" s="10"/>
      <c r="AA5" s="11"/>
      <c r="AB5" s="10"/>
      <c r="AC5" s="11">
        <f>50160/2</f>
        <v>25080</v>
      </c>
      <c r="AD5" s="12"/>
      <c r="AE5" s="13">
        <f>50160/12*9</f>
        <v>37620</v>
      </c>
      <c r="AF5" s="65">
        <f t="shared" si="0"/>
        <v>0</v>
      </c>
      <c r="AG5" s="69">
        <f t="shared" si="0"/>
        <v>62700</v>
      </c>
      <c r="AH5" s="64">
        <f t="shared" si="1"/>
        <v>62700</v>
      </c>
      <c r="AJ5" t="s">
        <v>102</v>
      </c>
      <c r="AM5" t="s">
        <v>103</v>
      </c>
    </row>
    <row r="6" spans="1:50" x14ac:dyDescent="0.2">
      <c r="A6" s="3" t="s">
        <v>18</v>
      </c>
      <c r="B6" s="10"/>
      <c r="C6" s="11"/>
      <c r="D6" s="10"/>
      <c r="E6" s="11"/>
      <c r="F6" s="10"/>
      <c r="G6" s="11"/>
      <c r="H6" s="10"/>
      <c r="I6" s="11"/>
      <c r="J6" s="10"/>
      <c r="K6" s="11"/>
      <c r="L6" s="10"/>
      <c r="M6" s="11">
        <f>50160/12*5</f>
        <v>20900</v>
      </c>
      <c r="N6" s="10"/>
      <c r="O6" s="11"/>
      <c r="P6" s="10"/>
      <c r="Q6" s="11"/>
      <c r="R6" s="10"/>
      <c r="S6" s="11"/>
      <c r="T6" s="10"/>
      <c r="U6" s="11"/>
      <c r="V6" s="10"/>
      <c r="W6" s="11"/>
      <c r="X6" s="10"/>
      <c r="Y6" s="11"/>
      <c r="Z6" s="10"/>
      <c r="AA6" s="11"/>
      <c r="AB6" s="10"/>
      <c r="AC6" s="11">
        <f>50160/12*9</f>
        <v>37620</v>
      </c>
      <c r="AD6" s="12"/>
      <c r="AE6" s="13"/>
      <c r="AF6" s="65">
        <f t="shared" si="0"/>
        <v>0</v>
      </c>
      <c r="AG6" s="69">
        <f t="shared" si="0"/>
        <v>58520</v>
      </c>
      <c r="AH6" s="64">
        <f t="shared" si="1"/>
        <v>58520</v>
      </c>
      <c r="AJ6" t="s">
        <v>119</v>
      </c>
    </row>
    <row r="7" spans="1:50" x14ac:dyDescent="0.2">
      <c r="A7" s="3" t="s">
        <v>19</v>
      </c>
      <c r="B7" s="10"/>
      <c r="C7" s="11"/>
      <c r="D7" s="10"/>
      <c r="E7" s="11"/>
      <c r="F7" s="10"/>
      <c r="G7" s="11"/>
      <c r="H7" s="10"/>
      <c r="I7" s="11"/>
      <c r="J7" s="10"/>
      <c r="K7" s="11"/>
      <c r="L7" s="10"/>
      <c r="M7" s="11">
        <f>3*50160/2</f>
        <v>75240</v>
      </c>
      <c r="N7" s="10"/>
      <c r="O7" s="11"/>
      <c r="P7" s="10"/>
      <c r="Q7" s="11"/>
      <c r="R7" s="10">
        <f>1.22*110000</f>
        <v>134200</v>
      </c>
      <c r="S7" s="11">
        <f>3*50160/2+2*50160/2</f>
        <v>125400</v>
      </c>
      <c r="T7" s="10"/>
      <c r="U7" s="11"/>
      <c r="V7" s="10"/>
      <c r="W7" s="11"/>
      <c r="X7" s="10"/>
      <c r="Y7" s="11">
        <f>50160/2+3*50160/2+2*50160/2</f>
        <v>150480</v>
      </c>
      <c r="Z7" s="10"/>
      <c r="AA7" s="11"/>
      <c r="AB7" s="10"/>
      <c r="AC7" s="11"/>
      <c r="AD7" s="12"/>
      <c r="AE7" s="13">
        <f>50160/2+3*50160/2+2*50160/2</f>
        <v>150480</v>
      </c>
      <c r="AF7" s="65">
        <f t="shared" si="0"/>
        <v>134200</v>
      </c>
      <c r="AG7" s="69">
        <f t="shared" si="0"/>
        <v>501600</v>
      </c>
      <c r="AH7" s="64">
        <f t="shared" si="1"/>
        <v>635800</v>
      </c>
      <c r="AJ7" t="s">
        <v>115</v>
      </c>
      <c r="AM7" t="s">
        <v>116</v>
      </c>
      <c r="AQ7" t="s">
        <v>117</v>
      </c>
    </row>
    <row r="8" spans="1:50" x14ac:dyDescent="0.2">
      <c r="A8" s="3" t="s">
        <v>20</v>
      </c>
      <c r="B8" s="10"/>
      <c r="C8" s="11"/>
      <c r="D8" s="10"/>
      <c r="E8" s="11"/>
      <c r="F8" s="10"/>
      <c r="G8" s="11"/>
      <c r="H8" s="10"/>
      <c r="I8" s="11"/>
      <c r="J8" s="10"/>
      <c r="K8" s="11"/>
      <c r="L8" s="10"/>
      <c r="M8" s="11"/>
      <c r="N8" s="10"/>
      <c r="O8" s="11"/>
      <c r="P8" s="10"/>
      <c r="Q8" s="11"/>
      <c r="R8" s="10"/>
      <c r="S8" s="11"/>
      <c r="T8" s="10"/>
      <c r="U8" s="11"/>
      <c r="V8" s="10"/>
      <c r="W8" s="11"/>
      <c r="X8" s="10"/>
      <c r="Y8" s="11"/>
      <c r="Z8" s="10"/>
      <c r="AA8" s="11"/>
      <c r="AB8" s="10"/>
      <c r="AC8" s="11">
        <f>50160/12*9</f>
        <v>37620</v>
      </c>
      <c r="AD8" s="12"/>
      <c r="AE8" s="13"/>
      <c r="AF8" s="65">
        <f t="shared" si="0"/>
        <v>0</v>
      </c>
      <c r="AG8" s="69">
        <f t="shared" si="0"/>
        <v>37620</v>
      </c>
      <c r="AH8" s="64">
        <f t="shared" si="1"/>
        <v>37620</v>
      </c>
      <c r="AJ8" t="s">
        <v>118</v>
      </c>
    </row>
    <row r="9" spans="1:50" x14ac:dyDescent="0.2">
      <c r="A9" s="3" t="s">
        <v>21</v>
      </c>
      <c r="B9" s="10"/>
      <c r="C9" s="11"/>
      <c r="D9" s="10"/>
      <c r="E9" s="11"/>
      <c r="F9" s="10"/>
      <c r="G9" s="11"/>
      <c r="H9" s="10"/>
      <c r="I9" s="11"/>
      <c r="J9" s="10"/>
      <c r="K9" s="11"/>
      <c r="L9" s="10"/>
      <c r="M9" s="11"/>
      <c r="N9" s="10"/>
      <c r="O9" s="11"/>
      <c r="P9" s="10"/>
      <c r="Q9" s="11"/>
      <c r="R9" s="10"/>
      <c r="S9" s="11"/>
      <c r="T9" s="10"/>
      <c r="U9" s="11"/>
      <c r="V9" s="10"/>
      <c r="W9" s="11"/>
      <c r="X9" s="10"/>
      <c r="Y9" s="11"/>
      <c r="Z9" s="10"/>
      <c r="AA9" s="11"/>
      <c r="AB9" s="10"/>
      <c r="AC9" s="11">
        <f>2*50160/12*4+2*50160/12*5</f>
        <v>75240</v>
      </c>
      <c r="AD9" s="12"/>
      <c r="AE9" s="13">
        <f>2*50160/12*2</f>
        <v>16720</v>
      </c>
      <c r="AF9" s="65">
        <f t="shared" si="0"/>
        <v>0</v>
      </c>
      <c r="AG9" s="69">
        <f t="shared" si="0"/>
        <v>91960</v>
      </c>
      <c r="AH9" s="64">
        <f t="shared" si="1"/>
        <v>91960</v>
      </c>
      <c r="AJ9" t="s">
        <v>149</v>
      </c>
      <c r="AM9" t="s">
        <v>150</v>
      </c>
      <c r="AQ9" t="s">
        <v>163</v>
      </c>
    </row>
    <row r="10" spans="1:50" x14ac:dyDescent="0.2">
      <c r="A10" s="3" t="s">
        <v>22</v>
      </c>
      <c r="B10" s="10"/>
      <c r="C10" s="11"/>
      <c r="D10" s="10"/>
      <c r="E10" s="11"/>
      <c r="F10" s="10"/>
      <c r="G10" s="11"/>
      <c r="H10" s="10"/>
      <c r="I10" s="11"/>
      <c r="J10" s="10"/>
      <c r="K10" s="11"/>
      <c r="L10" s="10"/>
      <c r="M10" s="11">
        <f>50160/12*5+50160/2</f>
        <v>45980</v>
      </c>
      <c r="N10" s="10"/>
      <c r="O10" s="11"/>
      <c r="P10" s="10"/>
      <c r="Q10" s="11"/>
      <c r="R10" s="10">
        <v>36600</v>
      </c>
      <c r="S10" s="11">
        <f>50160/2</f>
        <v>25080</v>
      </c>
      <c r="T10" s="10"/>
      <c r="U10" s="11"/>
      <c r="V10" s="10"/>
      <c r="W10" s="11"/>
      <c r="X10" s="10"/>
      <c r="Y10" s="11">
        <f>50160/12*5+50160/12*5+50160/12*2</f>
        <v>50160</v>
      </c>
      <c r="Z10" s="10"/>
      <c r="AA10" s="11"/>
      <c r="AB10" s="10"/>
      <c r="AC10" s="11">
        <f>50160/12*4+50160/12*4</f>
        <v>33440</v>
      </c>
      <c r="AD10" s="12"/>
      <c r="AE10" s="13">
        <f>2*44080/2+50160/2</f>
        <v>69160</v>
      </c>
      <c r="AF10" s="65">
        <f t="shared" si="0"/>
        <v>36600</v>
      </c>
      <c r="AG10" s="69">
        <f t="shared" si="0"/>
        <v>223820</v>
      </c>
      <c r="AH10" s="64">
        <f t="shared" si="1"/>
        <v>260420</v>
      </c>
      <c r="AJ10" t="s">
        <v>185</v>
      </c>
      <c r="AM10" t="s">
        <v>190</v>
      </c>
      <c r="AQ10" t="s">
        <v>194</v>
      </c>
      <c r="AU10" t="s">
        <v>196</v>
      </c>
      <c r="AX10" t="s">
        <v>201</v>
      </c>
    </row>
    <row r="11" spans="1:50" x14ac:dyDescent="0.2">
      <c r="A11" s="3" t="s">
        <v>23</v>
      </c>
      <c r="B11" s="10"/>
      <c r="C11" s="11"/>
      <c r="D11" s="10"/>
      <c r="E11" s="11"/>
      <c r="F11" s="10"/>
      <c r="G11" s="11"/>
      <c r="H11" s="10"/>
      <c r="I11" s="11"/>
      <c r="J11" s="10"/>
      <c r="K11" s="11"/>
      <c r="L11" s="10"/>
      <c r="M11" s="11"/>
      <c r="N11" s="10"/>
      <c r="O11" s="11"/>
      <c r="P11" s="10"/>
      <c r="Q11" s="11"/>
      <c r="R11" s="10"/>
      <c r="S11" s="11"/>
      <c r="T11" s="10"/>
      <c r="U11" s="11"/>
      <c r="V11" s="10"/>
      <c r="W11" s="11"/>
      <c r="X11" s="10"/>
      <c r="Y11" s="11"/>
      <c r="Z11" s="10"/>
      <c r="AA11" s="11"/>
      <c r="AB11" s="10"/>
      <c r="AC11" s="11">
        <f>51084/12*8</f>
        <v>34056</v>
      </c>
      <c r="AD11" s="12"/>
      <c r="AE11" s="13"/>
      <c r="AF11" s="65">
        <f t="shared" si="0"/>
        <v>0</v>
      </c>
      <c r="AG11" s="69">
        <f t="shared" si="0"/>
        <v>34056</v>
      </c>
      <c r="AH11" s="64">
        <f t="shared" si="1"/>
        <v>34056</v>
      </c>
      <c r="AJ11" t="s">
        <v>215</v>
      </c>
    </row>
    <row r="12" spans="1:50" x14ac:dyDescent="0.2">
      <c r="A12" s="3" t="s">
        <v>24</v>
      </c>
      <c r="B12" s="10"/>
      <c r="C12" s="11"/>
      <c r="D12" s="10"/>
      <c r="E12" s="11"/>
      <c r="F12" s="10"/>
      <c r="G12" s="11"/>
      <c r="H12" s="10"/>
      <c r="I12" s="11"/>
      <c r="J12" s="10"/>
      <c r="K12" s="11"/>
      <c r="L12" s="10"/>
      <c r="M12" s="11"/>
      <c r="N12" s="10"/>
      <c r="O12" s="11"/>
      <c r="P12" s="10"/>
      <c r="Q12" s="11"/>
      <c r="R12" s="10"/>
      <c r="S12" s="11">
        <f>46500/12*4</f>
        <v>15500</v>
      </c>
      <c r="T12" s="10"/>
      <c r="U12" s="11"/>
      <c r="V12" s="10"/>
      <c r="W12" s="11"/>
      <c r="X12" s="10">
        <f>1.22*20500</f>
        <v>25010</v>
      </c>
      <c r="Y12" s="11">
        <f>2*46500/12*4+46500/12*6</f>
        <v>54250</v>
      </c>
      <c r="Z12" s="10"/>
      <c r="AA12" s="11"/>
      <c r="AB12" s="10"/>
      <c r="AC12" s="11">
        <f>46500/12*4</f>
        <v>15500</v>
      </c>
      <c r="AD12" s="12">
        <f>1.22*6000</f>
        <v>7320</v>
      </c>
      <c r="AE12" s="13">
        <f>2*46500/2</f>
        <v>46500</v>
      </c>
      <c r="AF12" s="65">
        <f t="shared" si="0"/>
        <v>32330</v>
      </c>
      <c r="AG12" s="69">
        <f t="shared" si="0"/>
        <v>131750</v>
      </c>
      <c r="AH12" s="64">
        <f t="shared" si="1"/>
        <v>164080</v>
      </c>
      <c r="AJ12" t="s">
        <v>216</v>
      </c>
      <c r="AM12" t="s">
        <v>217</v>
      </c>
      <c r="AQ12" t="s">
        <v>219</v>
      </c>
    </row>
    <row r="13" spans="1:50" ht="17" thickBot="1" x14ac:dyDescent="0.25">
      <c r="A13" s="4" t="s">
        <v>25</v>
      </c>
      <c r="B13" s="14"/>
      <c r="C13" s="15"/>
      <c r="D13" s="14"/>
      <c r="E13" s="15"/>
      <c r="F13" s="14"/>
      <c r="G13" s="15"/>
      <c r="H13" s="14"/>
      <c r="I13" s="15"/>
      <c r="J13" s="14"/>
      <c r="K13" s="15"/>
      <c r="L13" s="14"/>
      <c r="M13" s="15">
        <f>46500/2</f>
        <v>23250</v>
      </c>
      <c r="N13" s="14"/>
      <c r="O13" s="15"/>
      <c r="P13" s="14"/>
      <c r="Q13" s="15"/>
      <c r="R13" s="14"/>
      <c r="S13" s="15">
        <f>46500/2+46500/2</f>
        <v>46500</v>
      </c>
      <c r="T13" s="14"/>
      <c r="U13" s="15"/>
      <c r="V13" s="14"/>
      <c r="W13" s="15"/>
      <c r="X13" s="14"/>
      <c r="Y13" s="15">
        <f>46500/2</f>
        <v>23250</v>
      </c>
      <c r="Z13" s="14"/>
      <c r="AA13" s="15"/>
      <c r="AB13" s="14"/>
      <c r="AC13" s="15"/>
      <c r="AD13" s="16"/>
      <c r="AE13" s="17">
        <f>46500/12*3.6+46500/2</f>
        <v>37200</v>
      </c>
      <c r="AF13" s="66">
        <f t="shared" si="0"/>
        <v>0</v>
      </c>
      <c r="AG13" s="70">
        <f t="shared" si="0"/>
        <v>130200</v>
      </c>
      <c r="AH13" s="70">
        <f t="shared" si="1"/>
        <v>130200</v>
      </c>
      <c r="AJ13" t="s">
        <v>226</v>
      </c>
      <c r="AN13" t="s">
        <v>228</v>
      </c>
    </row>
    <row r="14" spans="1:50" ht="17" thickBot="1" x14ac:dyDescent="0.25">
      <c r="A14" s="5" t="s">
        <v>26</v>
      </c>
      <c r="B14" s="18">
        <f>SUM(B3:B13)</f>
        <v>0</v>
      </c>
      <c r="C14" s="19">
        <f t="shared" ref="C14:AE14" si="2">SUM(C3:C13)</f>
        <v>0</v>
      </c>
      <c r="D14" s="18">
        <f t="shared" si="2"/>
        <v>0</v>
      </c>
      <c r="E14" s="19">
        <f t="shared" si="2"/>
        <v>0</v>
      </c>
      <c r="F14" s="18">
        <f>SUM(F3:F13)</f>
        <v>0</v>
      </c>
      <c r="G14" s="19">
        <f>SUM(G3:G13)</f>
        <v>0</v>
      </c>
      <c r="H14" s="18">
        <f t="shared" si="2"/>
        <v>0</v>
      </c>
      <c r="I14" s="19">
        <f t="shared" si="2"/>
        <v>0</v>
      </c>
      <c r="J14" s="18">
        <f t="shared" si="2"/>
        <v>0</v>
      </c>
      <c r="K14" s="19">
        <f t="shared" si="2"/>
        <v>0</v>
      </c>
      <c r="L14" s="18">
        <f t="shared" si="2"/>
        <v>0</v>
      </c>
      <c r="M14" s="19">
        <f t="shared" si="2"/>
        <v>165370</v>
      </c>
      <c r="N14" s="18">
        <f t="shared" si="2"/>
        <v>0</v>
      </c>
      <c r="O14" s="19">
        <f t="shared" si="2"/>
        <v>0</v>
      </c>
      <c r="P14" s="18">
        <f t="shared" si="2"/>
        <v>0</v>
      </c>
      <c r="Q14" s="19">
        <f t="shared" si="2"/>
        <v>0</v>
      </c>
      <c r="R14" s="18">
        <f t="shared" si="2"/>
        <v>170800</v>
      </c>
      <c r="S14" s="19">
        <f t="shared" si="2"/>
        <v>262640</v>
      </c>
      <c r="T14" s="18">
        <f t="shared" si="2"/>
        <v>0</v>
      </c>
      <c r="U14" s="19">
        <f t="shared" si="2"/>
        <v>0</v>
      </c>
      <c r="V14" s="18">
        <f t="shared" si="2"/>
        <v>0</v>
      </c>
      <c r="W14" s="19">
        <f t="shared" si="2"/>
        <v>0</v>
      </c>
      <c r="X14" s="18">
        <f t="shared" si="2"/>
        <v>126270</v>
      </c>
      <c r="Y14" s="19">
        <f t="shared" si="2"/>
        <v>470420</v>
      </c>
      <c r="Z14" s="18">
        <f t="shared" si="2"/>
        <v>0</v>
      </c>
      <c r="AA14" s="19">
        <f t="shared" si="2"/>
        <v>0</v>
      </c>
      <c r="AB14" s="18">
        <f t="shared" si="2"/>
        <v>0</v>
      </c>
      <c r="AC14" s="19">
        <f t="shared" si="2"/>
        <v>258556</v>
      </c>
      <c r="AD14" s="20">
        <f t="shared" si="2"/>
        <v>7320</v>
      </c>
      <c r="AE14" s="21">
        <f t="shared" si="2"/>
        <v>483080</v>
      </c>
      <c r="AF14" s="67">
        <f t="shared" si="0"/>
        <v>304390</v>
      </c>
      <c r="AG14" s="71">
        <f t="shared" si="0"/>
        <v>1640066</v>
      </c>
      <c r="AH14" s="71">
        <f t="shared" si="1"/>
        <v>1944456</v>
      </c>
    </row>
    <row r="15" spans="1:50" ht="17" thickBot="1" x14ac:dyDescent="0.25">
      <c r="A15" s="6" t="s">
        <v>29</v>
      </c>
      <c r="B15" s="123">
        <f>B14+C14</f>
        <v>0</v>
      </c>
      <c r="C15" s="124"/>
      <c r="D15" s="123">
        <f>D14+E14</f>
        <v>0</v>
      </c>
      <c r="E15" s="124"/>
      <c r="F15" s="123">
        <f>F14+G14</f>
        <v>0</v>
      </c>
      <c r="G15" s="124"/>
      <c r="H15" s="123">
        <f>H14+I14</f>
        <v>0</v>
      </c>
      <c r="I15" s="124"/>
      <c r="J15" s="123">
        <f>J14+K14</f>
        <v>0</v>
      </c>
      <c r="K15" s="124"/>
      <c r="L15" s="123">
        <f>L14+M14</f>
        <v>165370</v>
      </c>
      <c r="M15" s="124"/>
      <c r="N15" s="123">
        <f>N14+O14</f>
        <v>0</v>
      </c>
      <c r="O15" s="124"/>
      <c r="P15" s="123">
        <f>P14+Q14</f>
        <v>0</v>
      </c>
      <c r="Q15" s="124"/>
      <c r="R15" s="123">
        <f>R14+S14</f>
        <v>433440</v>
      </c>
      <c r="S15" s="124"/>
      <c r="T15" s="123">
        <f>T14+U14</f>
        <v>0</v>
      </c>
      <c r="U15" s="124"/>
      <c r="V15" s="123">
        <f>V14+W14</f>
        <v>0</v>
      </c>
      <c r="W15" s="124"/>
      <c r="X15" s="123">
        <f>X14+Y14</f>
        <v>596690</v>
      </c>
      <c r="Y15" s="124"/>
      <c r="Z15" s="123">
        <f>Z14+AA14</f>
        <v>0</v>
      </c>
      <c r="AA15" s="124"/>
      <c r="AB15" s="123">
        <f>AB14+AC14</f>
        <v>258556</v>
      </c>
      <c r="AC15" s="124"/>
      <c r="AD15" s="134">
        <f>AD14+AE14</f>
        <v>490400</v>
      </c>
      <c r="AE15" s="118"/>
      <c r="AF15" s="68"/>
      <c r="AG15" s="46"/>
      <c r="AH15" s="72">
        <f t="shared" ref="AH15" si="3">SUM(B15:AE15)</f>
        <v>1944456</v>
      </c>
    </row>
    <row r="16" spans="1:50" ht="17" thickBot="1" x14ac:dyDescent="0.25">
      <c r="A16" s="6" t="s">
        <v>254</v>
      </c>
      <c r="B16" s="123">
        <f>1.07*B15</f>
        <v>0</v>
      </c>
      <c r="C16" s="124"/>
      <c r="D16" s="123">
        <f t="shared" ref="D16" si="4">1.07*D15</f>
        <v>0</v>
      </c>
      <c r="E16" s="124"/>
      <c r="F16" s="123">
        <f t="shared" ref="F16" si="5">1.07*F15</f>
        <v>0</v>
      </c>
      <c r="G16" s="124"/>
      <c r="H16" s="123">
        <f t="shared" ref="H16" si="6">1.07*H15</f>
        <v>0</v>
      </c>
      <c r="I16" s="124"/>
      <c r="J16" s="123">
        <f t="shared" ref="J16" si="7">1.07*J15</f>
        <v>0</v>
      </c>
      <c r="K16" s="124"/>
      <c r="L16" s="123">
        <f t="shared" ref="L16" si="8">1.07*L15</f>
        <v>176945.90000000002</v>
      </c>
      <c r="M16" s="124"/>
      <c r="N16" s="123">
        <f t="shared" ref="N16" si="9">1.07*N15</f>
        <v>0</v>
      </c>
      <c r="O16" s="124"/>
      <c r="P16" s="123">
        <f t="shared" ref="P16" si="10">1.07*P15</f>
        <v>0</v>
      </c>
      <c r="Q16" s="124"/>
      <c r="R16" s="123">
        <f t="shared" ref="R16" si="11">1.07*R15</f>
        <v>463780.80000000005</v>
      </c>
      <c r="S16" s="124"/>
      <c r="T16" s="123">
        <f t="shared" ref="T16" si="12">1.07*T15</f>
        <v>0</v>
      </c>
      <c r="U16" s="124"/>
      <c r="V16" s="123">
        <f t="shared" ref="V16" si="13">1.07*V15</f>
        <v>0</v>
      </c>
      <c r="W16" s="124"/>
      <c r="X16" s="123">
        <f t="shared" ref="X16" si="14">1.07*X15</f>
        <v>638458.30000000005</v>
      </c>
      <c r="Y16" s="124"/>
      <c r="Z16" s="123">
        <f t="shared" ref="Z16" si="15">1.07*Z15</f>
        <v>0</v>
      </c>
      <c r="AA16" s="124"/>
      <c r="AB16" s="123">
        <f t="shared" ref="AB16" si="16">1.07*AB15</f>
        <v>276654.92000000004</v>
      </c>
      <c r="AC16" s="124"/>
      <c r="AD16" s="123">
        <f t="shared" ref="AD16" si="17">1.07*AD15</f>
        <v>524728</v>
      </c>
      <c r="AE16" s="118"/>
      <c r="AF16" s="117">
        <f t="shared" ref="AF16" si="18">1.07*AF15</f>
        <v>0</v>
      </c>
      <c r="AG16" s="118"/>
      <c r="AH16" s="72">
        <f t="shared" ref="AH16" si="19">1.07*AH15</f>
        <v>2080567.9200000002</v>
      </c>
    </row>
    <row r="18" spans="1:31" ht="17" thickBot="1" x14ac:dyDescent="0.25"/>
    <row r="19" spans="1:31" x14ac:dyDescent="0.2">
      <c r="A19" s="51" t="s">
        <v>33</v>
      </c>
      <c r="B19" s="125"/>
      <c r="C19" s="126"/>
      <c r="D19" s="125"/>
      <c r="E19" s="126"/>
      <c r="F19" s="125"/>
      <c r="G19" s="126"/>
      <c r="H19" s="125"/>
      <c r="I19" s="126"/>
      <c r="J19" s="125"/>
      <c r="K19" s="126"/>
      <c r="L19" s="125" t="s">
        <v>236</v>
      </c>
      <c r="M19" s="126"/>
      <c r="N19" s="125"/>
      <c r="O19" s="126"/>
      <c r="P19" s="125"/>
      <c r="Q19" s="126"/>
      <c r="R19" s="125" t="s">
        <v>237</v>
      </c>
      <c r="S19" s="126"/>
      <c r="T19" s="125"/>
      <c r="U19" s="126"/>
      <c r="V19" s="125"/>
      <c r="W19" s="126"/>
      <c r="X19" s="125" t="s">
        <v>238</v>
      </c>
      <c r="Y19" s="126"/>
      <c r="Z19" s="125"/>
      <c r="AA19" s="126"/>
      <c r="AB19" s="125" t="s">
        <v>239</v>
      </c>
      <c r="AC19" s="126"/>
      <c r="AD19" s="125" t="s">
        <v>240</v>
      </c>
      <c r="AE19" s="127"/>
    </row>
    <row r="20" spans="1:31" ht="17" thickBot="1" x14ac:dyDescent="0.25">
      <c r="A20" s="52" t="s">
        <v>35</v>
      </c>
      <c r="B20" s="53"/>
      <c r="C20" s="54"/>
      <c r="D20" s="55"/>
      <c r="E20" s="56"/>
      <c r="F20" s="53"/>
      <c r="G20" s="56"/>
      <c r="H20" s="53"/>
      <c r="I20" s="56"/>
      <c r="J20" s="53"/>
      <c r="K20" s="56"/>
      <c r="L20" s="114" t="s">
        <v>541</v>
      </c>
      <c r="M20" s="115"/>
      <c r="N20" s="53"/>
      <c r="O20" s="56"/>
      <c r="P20" s="53"/>
      <c r="Q20" s="56"/>
      <c r="R20" s="114" t="s">
        <v>542</v>
      </c>
      <c r="S20" s="115"/>
      <c r="T20" s="104"/>
      <c r="U20" s="107"/>
      <c r="V20" s="104"/>
      <c r="W20" s="105"/>
      <c r="X20" s="106" t="s">
        <v>543</v>
      </c>
      <c r="Y20" s="105" t="s">
        <v>544</v>
      </c>
      <c r="Z20" s="106"/>
      <c r="AA20" s="107"/>
      <c r="AB20" s="114" t="s">
        <v>545</v>
      </c>
      <c r="AC20" s="115"/>
      <c r="AD20" s="114" t="s">
        <v>546</v>
      </c>
      <c r="AE20" s="116"/>
    </row>
    <row r="25" spans="1:31" x14ac:dyDescent="0.2">
      <c r="A25" s="60" t="s">
        <v>236</v>
      </c>
      <c r="B25" t="s">
        <v>346</v>
      </c>
    </row>
    <row r="26" spans="1:31" x14ac:dyDescent="0.2">
      <c r="B26" t="s">
        <v>281</v>
      </c>
      <c r="C26" t="s">
        <v>345</v>
      </c>
    </row>
    <row r="27" spans="1:31" x14ac:dyDescent="0.2">
      <c r="B27" s="60" t="s">
        <v>34</v>
      </c>
      <c r="C27" t="s">
        <v>347</v>
      </c>
    </row>
    <row r="28" spans="1:31" x14ac:dyDescent="0.2">
      <c r="C28" s="60" t="s">
        <v>541</v>
      </c>
      <c r="D28" t="s">
        <v>556</v>
      </c>
    </row>
    <row r="30" spans="1:31" x14ac:dyDescent="0.2">
      <c r="A30" s="60" t="s">
        <v>237</v>
      </c>
      <c r="B30" t="s">
        <v>348</v>
      </c>
    </row>
    <row r="31" spans="1:31" x14ac:dyDescent="0.2">
      <c r="B31" t="s">
        <v>281</v>
      </c>
      <c r="C31" t="s">
        <v>350</v>
      </c>
    </row>
    <row r="32" spans="1:31" x14ac:dyDescent="0.2">
      <c r="A32" s="60"/>
      <c r="B32" s="60" t="s">
        <v>34</v>
      </c>
      <c r="C32" t="s">
        <v>297</v>
      </c>
    </row>
    <row r="33" spans="1:4" x14ac:dyDescent="0.2">
      <c r="A33" s="60"/>
      <c r="B33" s="60" t="s">
        <v>34</v>
      </c>
      <c r="C33" t="s">
        <v>298</v>
      </c>
    </row>
    <row r="34" spans="1:4" x14ac:dyDescent="0.2">
      <c r="A34" s="60"/>
      <c r="B34" s="60" t="s">
        <v>34</v>
      </c>
      <c r="C34" t="s">
        <v>299</v>
      </c>
    </row>
    <row r="35" spans="1:4" x14ac:dyDescent="0.2">
      <c r="C35" s="60" t="s">
        <v>542</v>
      </c>
      <c r="D35" t="s">
        <v>349</v>
      </c>
    </row>
    <row r="37" spans="1:4" x14ac:dyDescent="0.2">
      <c r="A37" s="60" t="s">
        <v>238</v>
      </c>
      <c r="B37" t="s">
        <v>352</v>
      </c>
    </row>
    <row r="38" spans="1:4" x14ac:dyDescent="0.2">
      <c r="B38" t="s">
        <v>281</v>
      </c>
      <c r="C38" t="s">
        <v>353</v>
      </c>
    </row>
    <row r="39" spans="1:4" x14ac:dyDescent="0.2">
      <c r="B39" s="60" t="s">
        <v>34</v>
      </c>
      <c r="C39" t="s">
        <v>557</v>
      </c>
    </row>
    <row r="40" spans="1:4" x14ac:dyDescent="0.2">
      <c r="A40" s="60"/>
      <c r="B40" s="60" t="s">
        <v>34</v>
      </c>
      <c r="C40" t="s">
        <v>298</v>
      </c>
    </row>
    <row r="41" spans="1:4" x14ac:dyDescent="0.2">
      <c r="A41" s="60"/>
      <c r="B41" s="60" t="s">
        <v>34</v>
      </c>
      <c r="C41" t="s">
        <v>299</v>
      </c>
    </row>
    <row r="42" spans="1:4" x14ac:dyDescent="0.2">
      <c r="B42" s="60" t="s">
        <v>34</v>
      </c>
      <c r="C42" t="s">
        <v>354</v>
      </c>
    </row>
    <row r="43" spans="1:4" x14ac:dyDescent="0.2">
      <c r="C43" s="60" t="s">
        <v>543</v>
      </c>
      <c r="D43" t="s">
        <v>351</v>
      </c>
    </row>
    <row r="44" spans="1:4" x14ac:dyDescent="0.2">
      <c r="C44" s="60" t="s">
        <v>544</v>
      </c>
      <c r="D44" t="s">
        <v>355</v>
      </c>
    </row>
    <row r="46" spans="1:4" x14ac:dyDescent="0.2">
      <c r="A46" s="60" t="s">
        <v>239</v>
      </c>
      <c r="B46" t="s">
        <v>356</v>
      </c>
    </row>
    <row r="47" spans="1:4" x14ac:dyDescent="0.2">
      <c r="B47" t="s">
        <v>281</v>
      </c>
      <c r="C47" t="s">
        <v>357</v>
      </c>
    </row>
    <row r="48" spans="1:4" x14ac:dyDescent="0.2">
      <c r="B48" s="60" t="s">
        <v>34</v>
      </c>
      <c r="C48" t="s">
        <v>358</v>
      </c>
    </row>
    <row r="49" spans="1:4" x14ac:dyDescent="0.2">
      <c r="C49" s="60" t="s">
        <v>545</v>
      </c>
      <c r="D49" t="s">
        <v>359</v>
      </c>
    </row>
    <row r="51" spans="1:4" x14ac:dyDescent="0.2">
      <c r="A51" s="60" t="s">
        <v>240</v>
      </c>
      <c r="B51" t="s">
        <v>362</v>
      </c>
    </row>
    <row r="52" spans="1:4" x14ac:dyDescent="0.2">
      <c r="B52" t="s">
        <v>281</v>
      </c>
      <c r="C52" t="s">
        <v>363</v>
      </c>
    </row>
    <row r="53" spans="1:4" x14ac:dyDescent="0.2">
      <c r="B53" s="60" t="s">
        <v>34</v>
      </c>
      <c r="C53" t="s">
        <v>361</v>
      </c>
    </row>
    <row r="54" spans="1:4" x14ac:dyDescent="0.2">
      <c r="C54" s="60" t="s">
        <v>546</v>
      </c>
      <c r="D54" t="s">
        <v>360</v>
      </c>
    </row>
  </sheetData>
  <sheetProtection algorithmName="SHA-512" hashValue="sMTfYn8mNv42s6O5U4t8v0+u/mcpqWNZK7ZjRLmSjTFGmHqJXIY+NjkuoTJ0AAp1Hw5y3Z9lt7eVqzNb6fn/hQ==" saltValue="a6Rb1o0XZpUz3UDEE8GKew==" spinCount="100000" sheet="1" objects="1" scenarios="1"/>
  <mergeCells count="67">
    <mergeCell ref="L1:M1"/>
    <mergeCell ref="B1:C1"/>
    <mergeCell ref="D1:E1"/>
    <mergeCell ref="F1:G1"/>
    <mergeCell ref="H1:I1"/>
    <mergeCell ref="J1:K1"/>
    <mergeCell ref="Z1:AA1"/>
    <mergeCell ref="AB1:AC1"/>
    <mergeCell ref="AD1:AE1"/>
    <mergeCell ref="B15:C15"/>
    <mergeCell ref="D15:E15"/>
    <mergeCell ref="F15:G15"/>
    <mergeCell ref="H15:I15"/>
    <mergeCell ref="J15:K15"/>
    <mergeCell ref="L15:M15"/>
    <mergeCell ref="N15:O15"/>
    <mergeCell ref="N1:O1"/>
    <mergeCell ref="P1:Q1"/>
    <mergeCell ref="R1:S1"/>
    <mergeCell ref="T1:U1"/>
    <mergeCell ref="V1:W1"/>
    <mergeCell ref="X1:Y1"/>
    <mergeCell ref="AB15:AC15"/>
    <mergeCell ref="AD15:AE15"/>
    <mergeCell ref="P15:Q15"/>
    <mergeCell ref="R15:S15"/>
    <mergeCell ref="T15:U15"/>
    <mergeCell ref="V15:W15"/>
    <mergeCell ref="X15:Y15"/>
    <mergeCell ref="Z15:AA15"/>
    <mergeCell ref="B19:C19"/>
    <mergeCell ref="D19:E19"/>
    <mergeCell ref="F19:G19"/>
    <mergeCell ref="H19:I19"/>
    <mergeCell ref="J19:K19"/>
    <mergeCell ref="AF16:AG16"/>
    <mergeCell ref="AF1:AG1"/>
    <mergeCell ref="AH1:AH2"/>
    <mergeCell ref="B16:C16"/>
    <mergeCell ref="D16:E16"/>
    <mergeCell ref="F16:G16"/>
    <mergeCell ref="H16:I16"/>
    <mergeCell ref="J16:K16"/>
    <mergeCell ref="L16:M16"/>
    <mergeCell ref="N16:O16"/>
    <mergeCell ref="P16:Q16"/>
    <mergeCell ref="R16:S16"/>
    <mergeCell ref="T16:U16"/>
    <mergeCell ref="V16:W16"/>
    <mergeCell ref="X16:Y16"/>
    <mergeCell ref="Z16:AA16"/>
    <mergeCell ref="AD20:AE20"/>
    <mergeCell ref="AB20:AC20"/>
    <mergeCell ref="R20:S20"/>
    <mergeCell ref="L20:M20"/>
    <mergeCell ref="AD16:AE16"/>
    <mergeCell ref="AB16:AC16"/>
    <mergeCell ref="V19:W19"/>
    <mergeCell ref="X19:Y19"/>
    <mergeCell ref="Z19:AA19"/>
    <mergeCell ref="AB19:AC19"/>
    <mergeCell ref="AD19:AE19"/>
    <mergeCell ref="L19:M19"/>
    <mergeCell ref="N19:O19"/>
    <mergeCell ref="P19:Q19"/>
    <mergeCell ref="R19:S19"/>
    <mergeCell ref="T19:U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78"/>
  <sheetViews>
    <sheetView workbookViewId="0">
      <pane xSplit="1" topLeftCell="B1" activePane="topRight" state="frozen"/>
      <selection pane="topRight" activeCell="B39" sqref="B39:D53"/>
    </sheetView>
  </sheetViews>
  <sheetFormatPr baseColWidth="10" defaultColWidth="11.1640625" defaultRowHeight="16" x14ac:dyDescent="0.2"/>
  <cols>
    <col min="1" max="1" width="15.83203125" customWidth="1"/>
    <col min="4" max="4" width="11" bestFit="1" customWidth="1"/>
    <col min="6" max="6" width="11.6640625" bestFit="1" customWidth="1"/>
    <col min="7" max="7" width="10.83203125" customWidth="1"/>
    <col min="8" max="8" width="11.6640625" bestFit="1" customWidth="1"/>
    <col min="12" max="12" width="11.6640625" bestFit="1" customWidth="1"/>
    <col min="13" max="13" width="11.5" customWidth="1"/>
    <col min="20" max="20" width="11.6640625" customWidth="1"/>
    <col min="26" max="26" width="11.6640625" customWidth="1"/>
    <col min="32" max="32" width="13.6640625" customWidth="1"/>
    <col min="33" max="33" width="11.6640625" bestFit="1" customWidth="1"/>
    <col min="34" max="34" width="15.1640625" customWidth="1"/>
  </cols>
  <sheetData>
    <row r="1" spans="1:42"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1"/>
      <c r="AF1" s="121" t="s">
        <v>41</v>
      </c>
      <c r="AG1" s="122"/>
      <c r="AH1" s="119" t="s">
        <v>26</v>
      </c>
    </row>
    <row r="2" spans="1:42"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1" t="s">
        <v>28</v>
      </c>
      <c r="AF2" s="27" t="s">
        <v>27</v>
      </c>
      <c r="AG2" s="28" t="s">
        <v>28</v>
      </c>
      <c r="AH2" s="120"/>
    </row>
    <row r="3" spans="1:42" x14ac:dyDescent="0.2">
      <c r="A3" s="3" t="s">
        <v>15</v>
      </c>
      <c r="B3" s="10">
        <v>0</v>
      </c>
      <c r="C3" s="11"/>
      <c r="D3" s="10"/>
      <c r="E3" s="11"/>
      <c r="F3" s="10"/>
      <c r="G3" s="11"/>
      <c r="H3" s="10"/>
      <c r="I3" s="11"/>
      <c r="J3" s="10"/>
      <c r="K3" s="11"/>
      <c r="L3" s="10"/>
      <c r="M3" s="11"/>
      <c r="N3" s="10">
        <v>15000</v>
      </c>
      <c r="O3" s="11"/>
      <c r="P3" s="10"/>
      <c r="Q3" s="11"/>
      <c r="R3" s="10"/>
      <c r="S3" s="11"/>
      <c r="T3" s="10">
        <f>14200/2</f>
        <v>7100</v>
      </c>
      <c r="U3" s="11"/>
      <c r="V3" s="10"/>
      <c r="W3" s="11"/>
      <c r="X3" s="10">
        <f>14200/2</f>
        <v>7100</v>
      </c>
      <c r="Y3" s="11"/>
      <c r="Z3" s="10">
        <f>14200/2</f>
        <v>7100</v>
      </c>
      <c r="AA3" s="11"/>
      <c r="AB3" s="10"/>
      <c r="AC3" s="11"/>
      <c r="AD3" s="12">
        <f>14200/2</f>
        <v>7100</v>
      </c>
      <c r="AE3" s="13"/>
      <c r="AF3" s="65">
        <f>B3+D3+F3+H3+J3+L3+N3+P3+R3+T3+V3+X3+Z3+AB3+AD3</f>
        <v>43400</v>
      </c>
      <c r="AG3" s="69">
        <f>C3+E3+G3+I3+K3+M3+O3+Q3+S3+U3+W3+Y3+AA3+AC3+AE3</f>
        <v>0</v>
      </c>
      <c r="AH3" s="64">
        <f>AF3+AG3</f>
        <v>43400</v>
      </c>
    </row>
    <row r="4" spans="1:42" x14ac:dyDescent="0.2">
      <c r="A4" s="3" t="s">
        <v>16</v>
      </c>
      <c r="B4" s="10"/>
      <c r="C4" s="11"/>
      <c r="D4" s="10"/>
      <c r="E4" s="11"/>
      <c r="F4" s="10"/>
      <c r="G4" s="11"/>
      <c r="H4" s="10"/>
      <c r="I4" s="49"/>
      <c r="J4" s="10"/>
      <c r="K4" s="11"/>
      <c r="L4" s="10"/>
      <c r="M4" s="11"/>
      <c r="N4" s="10"/>
      <c r="O4" s="11"/>
      <c r="P4" s="10"/>
      <c r="Q4" s="11"/>
      <c r="R4" s="10"/>
      <c r="S4" s="11"/>
      <c r="T4" s="10"/>
      <c r="U4" s="50">
        <f>50160/12*1.5</f>
        <v>6270</v>
      </c>
      <c r="V4" s="10"/>
      <c r="W4" s="11"/>
      <c r="X4" s="10"/>
      <c r="Y4" s="11"/>
      <c r="Z4" s="10"/>
      <c r="AA4" s="11"/>
      <c r="AB4" s="10"/>
      <c r="AC4" s="11"/>
      <c r="AD4" s="12"/>
      <c r="AE4" s="13"/>
      <c r="AF4" s="65">
        <f t="shared" ref="AF4:AG14" si="0">B4+D4+F4+H4+J4+L4+N4+P4+R4+T4+V4+X4+Z4+AB4+AD4</f>
        <v>0</v>
      </c>
      <c r="AG4" s="69">
        <f t="shared" si="0"/>
        <v>6270</v>
      </c>
      <c r="AH4" s="64">
        <f t="shared" ref="AH4:AH14" si="1">AF4+AG4</f>
        <v>6270</v>
      </c>
      <c r="AJ4" t="s">
        <v>97</v>
      </c>
    </row>
    <row r="5" spans="1:42" x14ac:dyDescent="0.2">
      <c r="A5" s="3" t="s">
        <v>17</v>
      </c>
      <c r="B5" s="10"/>
      <c r="C5" s="11"/>
      <c r="D5" s="10"/>
      <c r="E5" s="11"/>
      <c r="F5" s="10"/>
      <c r="G5" s="11"/>
      <c r="H5" s="10"/>
      <c r="J5" s="10"/>
      <c r="K5" s="11"/>
      <c r="L5" s="10"/>
      <c r="M5" s="11"/>
      <c r="N5" s="10"/>
      <c r="O5" s="11"/>
      <c r="P5" s="10"/>
      <c r="Q5" s="11"/>
      <c r="R5" s="10"/>
      <c r="S5" s="11"/>
      <c r="T5" s="10">
        <f>28400/2</f>
        <v>14200</v>
      </c>
      <c r="U5" s="50"/>
      <c r="V5" s="10"/>
      <c r="W5" s="11"/>
      <c r="X5" s="10"/>
      <c r="Y5" s="11"/>
      <c r="Z5" s="10">
        <f>28400/2</f>
        <v>14200</v>
      </c>
      <c r="AA5" s="79">
        <f>50160/12*2</f>
        <v>8360</v>
      </c>
      <c r="AB5" s="10"/>
      <c r="AC5" s="11"/>
      <c r="AD5" s="12"/>
      <c r="AE5" s="13"/>
      <c r="AF5" s="65">
        <f t="shared" si="0"/>
        <v>28400</v>
      </c>
      <c r="AG5" s="69">
        <f t="shared" si="0"/>
        <v>8360</v>
      </c>
      <c r="AH5" s="64">
        <f t="shared" si="1"/>
        <v>36760</v>
      </c>
      <c r="AJ5" t="s">
        <v>106</v>
      </c>
    </row>
    <row r="6" spans="1:42" x14ac:dyDescent="0.2">
      <c r="A6" s="3" t="s">
        <v>18</v>
      </c>
      <c r="B6" s="10"/>
      <c r="C6" s="11"/>
      <c r="D6" s="10"/>
      <c r="E6" s="11"/>
      <c r="F6" s="10"/>
      <c r="G6" s="11"/>
      <c r="H6" s="10"/>
      <c r="I6" s="11"/>
      <c r="J6" s="10"/>
      <c r="K6" s="11"/>
      <c r="L6" s="10"/>
      <c r="M6" s="11"/>
      <c r="N6" s="10"/>
      <c r="O6" s="11"/>
      <c r="P6" s="10"/>
      <c r="Q6" s="11"/>
      <c r="R6" s="10"/>
      <c r="S6" s="11"/>
      <c r="T6" s="10">
        <f>14200/2</f>
        <v>7100</v>
      </c>
      <c r="U6" s="11">
        <f>8360/2</f>
        <v>4180</v>
      </c>
      <c r="V6" s="10"/>
      <c r="W6" s="11"/>
      <c r="X6" s="10"/>
      <c r="Y6" s="11"/>
      <c r="Z6" s="10">
        <f>14200/2</f>
        <v>7100</v>
      </c>
      <c r="AA6" s="11"/>
      <c r="AB6" s="10"/>
      <c r="AC6" s="11"/>
      <c r="AD6" s="12"/>
      <c r="AE6" s="13">
        <f>8360/2</f>
        <v>4180</v>
      </c>
      <c r="AF6" s="65">
        <f t="shared" si="0"/>
        <v>14200</v>
      </c>
      <c r="AG6" s="69">
        <f t="shared" si="0"/>
        <v>8360</v>
      </c>
      <c r="AH6" s="64">
        <f t="shared" si="1"/>
        <v>22560</v>
      </c>
      <c r="AJ6" t="s">
        <v>558</v>
      </c>
    </row>
    <row r="7" spans="1:42" x14ac:dyDescent="0.2">
      <c r="A7" s="3" t="s">
        <v>19</v>
      </c>
      <c r="B7" s="10"/>
      <c r="C7" s="11"/>
      <c r="D7" s="10"/>
      <c r="E7" s="11"/>
      <c r="F7" s="10"/>
      <c r="G7" s="11"/>
      <c r="H7" s="10"/>
      <c r="I7" s="11"/>
      <c r="J7" s="10"/>
      <c r="K7" s="11"/>
      <c r="L7" s="10"/>
      <c r="M7" s="11"/>
      <c r="O7" s="11"/>
      <c r="P7" s="10"/>
      <c r="Q7" s="11"/>
      <c r="R7" s="10"/>
      <c r="S7" s="11"/>
      <c r="T7" s="10">
        <f>84728.4/24*14</f>
        <v>49424.9</v>
      </c>
      <c r="U7" s="11"/>
      <c r="V7" s="10"/>
      <c r="W7" s="11"/>
      <c r="X7" s="10">
        <f>84728.4/24*4</f>
        <v>14121.4</v>
      </c>
      <c r="Y7" s="11"/>
      <c r="Z7" s="10">
        <f>84728.4/24*2</f>
        <v>7060.7</v>
      </c>
      <c r="AA7" s="11"/>
      <c r="AB7" s="10"/>
      <c r="AC7" s="11"/>
      <c r="AD7" s="12">
        <f>84728.4/24*4</f>
        <v>14121.4</v>
      </c>
      <c r="AE7" s="13"/>
      <c r="AF7" s="65">
        <f t="shared" si="0"/>
        <v>84728.4</v>
      </c>
      <c r="AG7" s="69">
        <f t="shared" si="0"/>
        <v>0</v>
      </c>
      <c r="AH7" s="64">
        <f t="shared" si="1"/>
        <v>84728.4</v>
      </c>
    </row>
    <row r="8" spans="1:42" x14ac:dyDescent="0.2">
      <c r="A8" s="3" t="s">
        <v>20</v>
      </c>
      <c r="B8" s="10"/>
      <c r="C8" s="11"/>
      <c r="D8" s="10"/>
      <c r="E8" s="11"/>
      <c r="F8" s="10"/>
      <c r="G8" s="11"/>
      <c r="H8" s="10"/>
      <c r="I8" s="11"/>
      <c r="J8" s="10"/>
      <c r="K8" s="11"/>
      <c r="L8" s="10"/>
      <c r="M8" s="11"/>
      <c r="N8" s="10"/>
      <c r="O8" s="11"/>
      <c r="P8" s="10"/>
      <c r="Q8" s="11"/>
      <c r="R8" s="10"/>
      <c r="S8" s="11"/>
      <c r="T8" s="10">
        <f>14200/2</f>
        <v>7100</v>
      </c>
      <c r="U8" s="11"/>
      <c r="V8" s="10"/>
      <c r="W8" s="11"/>
      <c r="X8" s="10"/>
      <c r="Y8" s="11"/>
      <c r="Z8" s="10">
        <f>14200/2</f>
        <v>7100</v>
      </c>
      <c r="AA8" s="11"/>
      <c r="AB8" s="10"/>
      <c r="AC8" s="11"/>
      <c r="AD8" s="12"/>
      <c r="AE8" s="13"/>
      <c r="AF8" s="65">
        <f t="shared" si="0"/>
        <v>14200</v>
      </c>
      <c r="AG8" s="69">
        <f t="shared" si="0"/>
        <v>0</v>
      </c>
      <c r="AH8" s="64">
        <f t="shared" si="1"/>
        <v>14200</v>
      </c>
    </row>
    <row r="9" spans="1:42" x14ac:dyDescent="0.2">
      <c r="A9" s="3" t="s">
        <v>21</v>
      </c>
      <c r="B9" s="10"/>
      <c r="C9" s="11"/>
      <c r="D9" s="10"/>
      <c r="E9" s="11"/>
      <c r="F9" s="10"/>
      <c r="G9" s="11"/>
      <c r="H9" s="10"/>
      <c r="I9" s="11"/>
      <c r="J9" s="10"/>
      <c r="K9" s="11"/>
      <c r="L9" s="10"/>
      <c r="M9" s="11"/>
      <c r="N9" s="10"/>
      <c r="O9" s="11"/>
      <c r="P9" s="10"/>
      <c r="Q9" s="11"/>
      <c r="R9" s="10"/>
      <c r="S9" s="11"/>
      <c r="T9" s="10"/>
      <c r="U9" s="11"/>
      <c r="V9" s="10"/>
      <c r="W9" s="11"/>
      <c r="X9" s="10"/>
      <c r="Y9" s="11"/>
      <c r="Z9" s="10"/>
      <c r="AA9" s="11"/>
      <c r="AB9" s="10"/>
      <c r="AC9" s="11"/>
      <c r="AD9" s="12"/>
      <c r="AE9" s="13">
        <f>2*50160/12</f>
        <v>8360</v>
      </c>
      <c r="AF9" s="65">
        <f t="shared" si="0"/>
        <v>0</v>
      </c>
      <c r="AG9" s="69">
        <f t="shared" si="0"/>
        <v>8360</v>
      </c>
      <c r="AH9" s="64">
        <f t="shared" si="1"/>
        <v>8360</v>
      </c>
      <c r="AJ9" t="s">
        <v>157</v>
      </c>
      <c r="AL9" t="s">
        <v>158</v>
      </c>
    </row>
    <row r="10" spans="1:42" x14ac:dyDescent="0.2">
      <c r="A10" s="3" t="s">
        <v>22</v>
      </c>
      <c r="B10" s="10"/>
      <c r="C10" s="11"/>
      <c r="D10" s="10"/>
      <c r="E10" s="11"/>
      <c r="F10" s="10"/>
      <c r="G10" s="11"/>
      <c r="H10" s="10"/>
      <c r="I10" s="11"/>
      <c r="J10" s="10"/>
      <c r="K10" s="11"/>
      <c r="L10" s="10"/>
      <c r="M10" s="11"/>
      <c r="N10" s="10"/>
      <c r="O10" s="11"/>
      <c r="P10" s="10"/>
      <c r="Q10" s="11"/>
      <c r="R10" s="10"/>
      <c r="S10" s="11"/>
      <c r="T10" s="10">
        <f>14500*3/2</f>
        <v>21750</v>
      </c>
      <c r="U10" s="11"/>
      <c r="V10" s="10"/>
      <c r="W10" s="77"/>
      <c r="X10" s="10"/>
      <c r="Y10" s="11">
        <f>50160/12*2</f>
        <v>8360</v>
      </c>
      <c r="Z10" s="10">
        <f>43500/2</f>
        <v>21750</v>
      </c>
      <c r="AA10" s="11"/>
      <c r="AB10" s="10"/>
      <c r="AC10" s="11"/>
      <c r="AD10" s="12"/>
      <c r="AE10" s="13">
        <f>2*50160/12*2</f>
        <v>16720</v>
      </c>
      <c r="AF10" s="65">
        <f t="shared" si="0"/>
        <v>43500</v>
      </c>
      <c r="AG10" s="69">
        <f t="shared" si="0"/>
        <v>25080</v>
      </c>
      <c r="AH10" s="64">
        <f t="shared" si="1"/>
        <v>68580</v>
      </c>
      <c r="AJ10" t="s">
        <v>184</v>
      </c>
      <c r="AM10" t="s">
        <v>188</v>
      </c>
      <c r="AP10" t="s">
        <v>183</v>
      </c>
    </row>
    <row r="11" spans="1:42" x14ac:dyDescent="0.2">
      <c r="A11" s="3" t="s">
        <v>23</v>
      </c>
      <c r="B11" s="10"/>
      <c r="C11" s="11"/>
      <c r="D11" s="10"/>
      <c r="E11" s="11"/>
      <c r="F11" s="10"/>
      <c r="G11" s="11"/>
      <c r="H11" s="10"/>
      <c r="I11" s="11"/>
      <c r="J11" s="10"/>
      <c r="K11" s="11"/>
      <c r="L11" s="10"/>
      <c r="M11" s="11"/>
      <c r="N11" s="10"/>
      <c r="O11" s="11"/>
      <c r="P11" s="10"/>
      <c r="Q11" s="11"/>
      <c r="R11" s="10"/>
      <c r="S11" s="11"/>
      <c r="T11" s="10">
        <v>50000</v>
      </c>
      <c r="U11" s="11"/>
      <c r="V11" s="10"/>
      <c r="W11" s="11"/>
      <c r="X11" s="10"/>
      <c r="Y11" s="11"/>
      <c r="Z11" s="10">
        <v>50000</v>
      </c>
      <c r="AA11" s="11"/>
      <c r="AB11" s="10"/>
      <c r="AC11" s="11"/>
      <c r="AD11" s="12"/>
      <c r="AE11" s="13"/>
      <c r="AF11" s="65">
        <f t="shared" si="0"/>
        <v>100000</v>
      </c>
      <c r="AG11" s="69">
        <f t="shared" si="0"/>
        <v>0</v>
      </c>
      <c r="AH11" s="64">
        <f t="shared" si="1"/>
        <v>100000</v>
      </c>
    </row>
    <row r="12" spans="1:42" x14ac:dyDescent="0.2">
      <c r="A12" s="3" t="s">
        <v>24</v>
      </c>
      <c r="B12" s="10"/>
      <c r="C12" s="11"/>
      <c r="D12" s="10"/>
      <c r="E12" s="11"/>
      <c r="F12" s="10">
        <v>151533.51999999999</v>
      </c>
      <c r="G12" s="11"/>
      <c r="H12" s="48"/>
      <c r="I12" s="11">
        <f>46500/12*2</f>
        <v>7750</v>
      </c>
      <c r="J12" s="10"/>
      <c r="K12" s="11"/>
      <c r="L12" s="10"/>
      <c r="M12" s="11"/>
      <c r="N12" s="10">
        <v>15000</v>
      </c>
      <c r="O12" s="11"/>
      <c r="P12" s="10"/>
      <c r="Q12" s="11"/>
      <c r="R12" s="10"/>
      <c r="S12" s="11"/>
      <c r="T12" s="10"/>
      <c r="U12" s="11"/>
      <c r="V12" s="10"/>
      <c r="W12" s="11"/>
      <c r="X12" s="10"/>
      <c r="Y12" s="11"/>
      <c r="Z12" s="10"/>
      <c r="AA12" s="11"/>
      <c r="AB12" s="10"/>
      <c r="AC12" s="11"/>
      <c r="AD12" s="12"/>
      <c r="AE12" s="13">
        <f>46500/12*2</f>
        <v>7750</v>
      </c>
      <c r="AF12" s="65">
        <f t="shared" si="0"/>
        <v>166533.51999999999</v>
      </c>
      <c r="AG12" s="69">
        <f t="shared" si="0"/>
        <v>15500</v>
      </c>
      <c r="AH12" s="64">
        <f t="shared" si="1"/>
        <v>182033.52</v>
      </c>
      <c r="AJ12" t="s">
        <v>442</v>
      </c>
      <c r="AM12" t="s">
        <v>218</v>
      </c>
    </row>
    <row r="13" spans="1:42" ht="17" thickBot="1" x14ac:dyDescent="0.25">
      <c r="A13" s="4" t="s">
        <v>25</v>
      </c>
      <c r="B13" s="14"/>
      <c r="C13" s="15"/>
      <c r="D13" s="14"/>
      <c r="E13" s="15"/>
      <c r="F13" s="14">
        <v>98980</v>
      </c>
      <c r="G13" s="15"/>
      <c r="I13" s="15"/>
      <c r="J13" s="14"/>
      <c r="K13" s="15"/>
      <c r="L13" s="14"/>
      <c r="M13" s="15"/>
      <c r="N13" s="14">
        <v>15000</v>
      </c>
      <c r="O13" s="15"/>
      <c r="P13" s="14"/>
      <c r="Q13" s="15"/>
      <c r="R13" s="14"/>
      <c r="S13" s="15"/>
      <c r="T13" s="14"/>
      <c r="U13" s="15"/>
      <c r="V13" s="14"/>
      <c r="W13" s="15"/>
      <c r="X13" s="14"/>
      <c r="Y13" s="15"/>
      <c r="Z13" s="14"/>
      <c r="AA13" s="15"/>
      <c r="AB13" s="14"/>
      <c r="AC13" s="15"/>
      <c r="AD13" s="16"/>
      <c r="AE13" s="17"/>
      <c r="AF13" s="66">
        <f t="shared" si="0"/>
        <v>113980</v>
      </c>
      <c r="AG13" s="70">
        <f t="shared" si="0"/>
        <v>0</v>
      </c>
      <c r="AH13" s="70">
        <f t="shared" si="1"/>
        <v>113980</v>
      </c>
    </row>
    <row r="14" spans="1:42" ht="17" thickBot="1" x14ac:dyDescent="0.25">
      <c r="A14" s="5" t="s">
        <v>26</v>
      </c>
      <c r="B14" s="18">
        <f>SUM(B3:B13)</f>
        <v>0</v>
      </c>
      <c r="C14" s="19">
        <f t="shared" ref="C14:AB14" si="2">SUM(C3:C13)</f>
        <v>0</v>
      </c>
      <c r="D14" s="18">
        <f t="shared" si="2"/>
        <v>0</v>
      </c>
      <c r="E14" s="19">
        <f t="shared" si="2"/>
        <v>0</v>
      </c>
      <c r="F14" s="18">
        <f>SUM(F3:F13)</f>
        <v>250513.52</v>
      </c>
      <c r="G14" s="19">
        <f>SUM(G3:G13)</f>
        <v>0</v>
      </c>
      <c r="H14" s="18">
        <f t="shared" si="2"/>
        <v>0</v>
      </c>
      <c r="I14" s="19">
        <f t="shared" si="2"/>
        <v>7750</v>
      </c>
      <c r="J14" s="18">
        <f t="shared" si="2"/>
        <v>0</v>
      </c>
      <c r="K14" s="19">
        <f t="shared" si="2"/>
        <v>0</v>
      </c>
      <c r="L14" s="18">
        <f t="shared" si="2"/>
        <v>0</v>
      </c>
      <c r="M14" s="19">
        <f t="shared" si="2"/>
        <v>0</v>
      </c>
      <c r="N14" s="18">
        <f t="shared" si="2"/>
        <v>45000</v>
      </c>
      <c r="O14" s="19">
        <f t="shared" si="2"/>
        <v>0</v>
      </c>
      <c r="P14" s="18">
        <f t="shared" si="2"/>
        <v>0</v>
      </c>
      <c r="Q14" s="19">
        <f t="shared" si="2"/>
        <v>0</v>
      </c>
      <c r="R14" s="18">
        <f t="shared" si="2"/>
        <v>0</v>
      </c>
      <c r="S14" s="19">
        <f t="shared" si="2"/>
        <v>0</v>
      </c>
      <c r="T14" s="18">
        <f t="shared" si="2"/>
        <v>156674.9</v>
      </c>
      <c r="U14" s="19">
        <f t="shared" si="2"/>
        <v>10450</v>
      </c>
      <c r="V14" s="18">
        <f t="shared" si="2"/>
        <v>0</v>
      </c>
      <c r="W14" s="19">
        <f t="shared" si="2"/>
        <v>0</v>
      </c>
      <c r="X14" s="18">
        <f t="shared" si="2"/>
        <v>21221.4</v>
      </c>
      <c r="Y14" s="19">
        <f t="shared" si="2"/>
        <v>8360</v>
      </c>
      <c r="Z14" s="18">
        <f t="shared" si="2"/>
        <v>114310.7</v>
      </c>
      <c r="AA14" s="19">
        <f t="shared" si="2"/>
        <v>8360</v>
      </c>
      <c r="AB14" s="18">
        <f t="shared" si="2"/>
        <v>0</v>
      </c>
      <c r="AC14" s="19">
        <f t="shared" ref="AC14" si="3">SUM(AC3:AC13)</f>
        <v>0</v>
      </c>
      <c r="AD14" s="20">
        <f t="shared" ref="AD14" si="4">SUM(AD3:AD13)</f>
        <v>21221.4</v>
      </c>
      <c r="AE14" s="21">
        <f t="shared" ref="AE14" si="5">SUM(AE3:AE13)</f>
        <v>37010</v>
      </c>
      <c r="AF14" s="67">
        <f t="shared" si="0"/>
        <v>608941.92000000004</v>
      </c>
      <c r="AG14" s="71">
        <f t="shared" si="0"/>
        <v>71930</v>
      </c>
      <c r="AH14" s="71">
        <f t="shared" si="1"/>
        <v>680871.92</v>
      </c>
    </row>
    <row r="15" spans="1:42" ht="17" thickBot="1" x14ac:dyDescent="0.25">
      <c r="A15" s="6" t="s">
        <v>29</v>
      </c>
      <c r="B15" s="123">
        <f>B14+C14</f>
        <v>0</v>
      </c>
      <c r="C15" s="124"/>
      <c r="D15" s="123">
        <f>D14+E14</f>
        <v>0</v>
      </c>
      <c r="E15" s="124"/>
      <c r="F15" s="123">
        <f>F14+G14</f>
        <v>250513.52</v>
      </c>
      <c r="G15" s="124"/>
      <c r="H15" s="123">
        <f>H14+I14</f>
        <v>7750</v>
      </c>
      <c r="I15" s="124"/>
      <c r="J15" s="123">
        <f>J14+K14</f>
        <v>0</v>
      </c>
      <c r="K15" s="124"/>
      <c r="L15" s="123">
        <f>L14+M14</f>
        <v>0</v>
      </c>
      <c r="M15" s="124"/>
      <c r="N15" s="123">
        <f>N14+O14</f>
        <v>45000</v>
      </c>
      <c r="O15" s="124"/>
      <c r="P15" s="123">
        <f>P14+Q14</f>
        <v>0</v>
      </c>
      <c r="Q15" s="124"/>
      <c r="R15" s="123">
        <f>R14+S14</f>
        <v>0</v>
      </c>
      <c r="S15" s="124"/>
      <c r="T15" s="123">
        <f>T14+U14</f>
        <v>167124.9</v>
      </c>
      <c r="U15" s="124"/>
      <c r="V15" s="123">
        <f>V14+W14</f>
        <v>0</v>
      </c>
      <c r="W15" s="124"/>
      <c r="X15" s="123">
        <f>X14+Y14</f>
        <v>29581.4</v>
      </c>
      <c r="Y15" s="124"/>
      <c r="Z15" s="123">
        <f>Z14+AA14</f>
        <v>122670.7</v>
      </c>
      <c r="AA15" s="124"/>
      <c r="AB15" s="123">
        <f>AB14+AC14</f>
        <v>0</v>
      </c>
      <c r="AC15" s="124"/>
      <c r="AD15" s="92">
        <f>(AD14+AE14)/2</f>
        <v>29115.7</v>
      </c>
      <c r="AE15" s="112">
        <f>(AD14+AE14)/2</f>
        <v>29115.7</v>
      </c>
      <c r="AF15" s="68"/>
      <c r="AG15" s="46"/>
      <c r="AH15" s="72">
        <f t="shared" ref="AH15" si="6">SUM(B15:AE15)</f>
        <v>680871.91999999993</v>
      </c>
    </row>
    <row r="16" spans="1:42" ht="17" thickBot="1" x14ac:dyDescent="0.25">
      <c r="A16" s="6" t="s">
        <v>254</v>
      </c>
      <c r="B16" s="123">
        <f>1.07*B15</f>
        <v>0</v>
      </c>
      <c r="C16" s="124"/>
      <c r="D16" s="123">
        <f t="shared" ref="D16" si="7">1.07*D15</f>
        <v>0</v>
      </c>
      <c r="E16" s="124"/>
      <c r="F16" s="123">
        <f t="shared" ref="F16" si="8">1.07*F15</f>
        <v>268049.46639999998</v>
      </c>
      <c r="G16" s="124"/>
      <c r="H16" s="123">
        <f t="shared" ref="H16" si="9">1.07*H15</f>
        <v>8292.5</v>
      </c>
      <c r="I16" s="124"/>
      <c r="J16" s="123">
        <f t="shared" ref="J16" si="10">1.07*J15</f>
        <v>0</v>
      </c>
      <c r="K16" s="124"/>
      <c r="L16" s="123">
        <f t="shared" ref="L16" si="11">1.07*L15</f>
        <v>0</v>
      </c>
      <c r="M16" s="124"/>
      <c r="N16" s="123">
        <f t="shared" ref="N16" si="12">1.07*N15</f>
        <v>48150</v>
      </c>
      <c r="O16" s="124"/>
      <c r="P16" s="123">
        <f t="shared" ref="P16" si="13">1.07*P15</f>
        <v>0</v>
      </c>
      <c r="Q16" s="124"/>
      <c r="R16" s="123">
        <f t="shared" ref="R16" si="14">1.07*R15</f>
        <v>0</v>
      </c>
      <c r="S16" s="124"/>
      <c r="T16" s="123">
        <f t="shared" ref="T16" si="15">1.07*T15</f>
        <v>178823.64300000001</v>
      </c>
      <c r="U16" s="124"/>
      <c r="V16" s="123">
        <f t="shared" ref="V16" si="16">1.07*V15</f>
        <v>0</v>
      </c>
      <c r="W16" s="124"/>
      <c r="X16" s="123">
        <f t="shared" ref="X16" si="17">1.07*X15</f>
        <v>31652.098000000002</v>
      </c>
      <c r="Y16" s="124"/>
      <c r="Z16" s="123">
        <f t="shared" ref="Z16" si="18">1.07*Z15</f>
        <v>131257.649</v>
      </c>
      <c r="AA16" s="124"/>
      <c r="AB16" s="123">
        <f t="shared" ref="AB16" si="19">1.07*AB15</f>
        <v>0</v>
      </c>
      <c r="AC16" s="124"/>
      <c r="AD16" s="92">
        <f t="shared" ref="AD16" si="20">1.07*AD15</f>
        <v>31153.799000000003</v>
      </c>
      <c r="AE16" s="112">
        <f t="shared" ref="AE16" si="21">1.07*AE15</f>
        <v>31153.799000000003</v>
      </c>
      <c r="AF16" s="117">
        <f t="shared" ref="AF16" si="22">1.07*AF15</f>
        <v>0</v>
      </c>
      <c r="AG16" s="118"/>
      <c r="AH16" s="72">
        <f t="shared" ref="AH16" si="23">1.07*AH15</f>
        <v>728532.95439999993</v>
      </c>
    </row>
    <row r="18" spans="1:31" ht="17" thickBot="1" x14ac:dyDescent="0.25"/>
    <row r="19" spans="1:31" x14ac:dyDescent="0.2">
      <c r="A19" s="51" t="s">
        <v>33</v>
      </c>
      <c r="B19" s="57"/>
      <c r="C19" s="58"/>
      <c r="D19" s="57"/>
      <c r="E19" s="58"/>
      <c r="F19" s="125" t="s">
        <v>165</v>
      </c>
      <c r="G19" s="126"/>
      <c r="H19" s="125" t="s">
        <v>167</v>
      </c>
      <c r="I19" s="126"/>
      <c r="J19" s="57"/>
      <c r="K19" s="58"/>
      <c r="L19" s="57"/>
      <c r="M19" s="58"/>
      <c r="N19" s="125" t="s">
        <v>169</v>
      </c>
      <c r="O19" s="126"/>
      <c r="P19" s="57"/>
      <c r="Q19" s="58"/>
      <c r="R19" s="57"/>
      <c r="S19" s="58"/>
      <c r="T19" s="125" t="s">
        <v>171</v>
      </c>
      <c r="U19" s="126"/>
      <c r="V19" s="57"/>
      <c r="W19" s="58"/>
      <c r="X19" s="125" t="s">
        <v>173</v>
      </c>
      <c r="Y19" s="126"/>
      <c r="Z19" s="125" t="s">
        <v>175</v>
      </c>
      <c r="AA19" s="126"/>
      <c r="AB19" s="57"/>
      <c r="AC19" s="58"/>
      <c r="AD19" s="57" t="s">
        <v>177</v>
      </c>
      <c r="AE19" s="59" t="s">
        <v>179</v>
      </c>
    </row>
    <row r="20" spans="1:31" ht="17" thickBot="1" x14ac:dyDescent="0.25">
      <c r="A20" s="52" t="s">
        <v>35</v>
      </c>
      <c r="B20" s="104"/>
      <c r="C20" s="105"/>
      <c r="D20" s="106"/>
      <c r="E20" s="107"/>
      <c r="F20" s="114" t="s">
        <v>547</v>
      </c>
      <c r="G20" s="115"/>
      <c r="H20" s="114" t="s">
        <v>548</v>
      </c>
      <c r="I20" s="115"/>
      <c r="J20" s="104"/>
      <c r="K20" s="107"/>
      <c r="L20" s="104"/>
      <c r="M20" s="107"/>
      <c r="N20" s="114" t="s">
        <v>549</v>
      </c>
      <c r="O20" s="115"/>
      <c r="P20" s="104"/>
      <c r="Q20" s="107"/>
      <c r="R20" s="104"/>
      <c r="S20" s="107"/>
      <c r="T20" s="114" t="s">
        <v>550</v>
      </c>
      <c r="U20" s="115"/>
      <c r="V20" s="104"/>
      <c r="W20" s="105"/>
      <c r="X20" s="114" t="s">
        <v>551</v>
      </c>
      <c r="Y20" s="115"/>
      <c r="Z20" s="114" t="s">
        <v>552</v>
      </c>
      <c r="AA20" s="115"/>
      <c r="AB20" s="104"/>
      <c r="AC20" s="107"/>
      <c r="AD20" s="104" t="s">
        <v>553</v>
      </c>
      <c r="AE20" s="108" t="s">
        <v>554</v>
      </c>
    </row>
    <row r="24" spans="1:31" x14ac:dyDescent="0.2">
      <c r="A24" s="60" t="s">
        <v>165</v>
      </c>
      <c r="B24" t="s">
        <v>166</v>
      </c>
    </row>
    <row r="25" spans="1:31" x14ac:dyDescent="0.2">
      <c r="A25" s="60"/>
      <c r="B25" t="s">
        <v>281</v>
      </c>
      <c r="C25" t="s">
        <v>366</v>
      </c>
    </row>
    <row r="26" spans="1:31" x14ac:dyDescent="0.2">
      <c r="A26" s="60"/>
      <c r="B26" s="60" t="s">
        <v>34</v>
      </c>
      <c r="C26" t="s">
        <v>364</v>
      </c>
    </row>
    <row r="27" spans="1:31" x14ac:dyDescent="0.2">
      <c r="A27" s="60"/>
      <c r="C27" s="60" t="s">
        <v>547</v>
      </c>
      <c r="D27" t="s">
        <v>365</v>
      </c>
    </row>
    <row r="29" spans="1:31" x14ac:dyDescent="0.2">
      <c r="A29" s="100" t="s">
        <v>167</v>
      </c>
      <c r="B29" s="96" t="s">
        <v>168</v>
      </c>
      <c r="C29" s="96"/>
      <c r="D29" s="96"/>
    </row>
    <row r="30" spans="1:31" x14ac:dyDescent="0.2">
      <c r="A30" s="100"/>
      <c r="B30" s="96" t="s">
        <v>281</v>
      </c>
      <c r="C30" s="96" t="s">
        <v>367</v>
      </c>
      <c r="D30" s="96"/>
    </row>
    <row r="31" spans="1:31" x14ac:dyDescent="0.2">
      <c r="A31" s="100"/>
      <c r="B31" s="100" t="s">
        <v>34</v>
      </c>
      <c r="C31" s="96" t="s">
        <v>368</v>
      </c>
      <c r="D31" s="96"/>
    </row>
    <row r="32" spans="1:31" x14ac:dyDescent="0.2">
      <c r="A32" s="100"/>
      <c r="B32" s="96"/>
      <c r="C32" s="100" t="s">
        <v>548</v>
      </c>
      <c r="D32" s="96" t="s">
        <v>369</v>
      </c>
    </row>
    <row r="33" spans="1:4" x14ac:dyDescent="0.2">
      <c r="A33" s="96"/>
      <c r="B33" s="96"/>
      <c r="C33" s="96"/>
      <c r="D33" s="96"/>
    </row>
    <row r="34" spans="1:4" x14ac:dyDescent="0.2">
      <c r="A34" s="60" t="s">
        <v>169</v>
      </c>
      <c r="B34" t="s">
        <v>170</v>
      </c>
    </row>
    <row r="35" spans="1:4" x14ac:dyDescent="0.2">
      <c r="A35" s="60"/>
      <c r="B35" t="s">
        <v>281</v>
      </c>
      <c r="C35" t="s">
        <v>370</v>
      </c>
    </row>
    <row r="36" spans="1:4" x14ac:dyDescent="0.2">
      <c r="A36" s="60"/>
      <c r="B36" s="60" t="s">
        <v>34</v>
      </c>
      <c r="C36" t="s">
        <v>371</v>
      </c>
    </row>
    <row r="37" spans="1:4" x14ac:dyDescent="0.2">
      <c r="A37" s="60"/>
      <c r="C37" s="60" t="s">
        <v>549</v>
      </c>
      <c r="D37" t="s">
        <v>372</v>
      </c>
    </row>
    <row r="39" spans="1:4" x14ac:dyDescent="0.2">
      <c r="A39" s="60" t="s">
        <v>171</v>
      </c>
      <c r="B39" s="96" t="s">
        <v>172</v>
      </c>
      <c r="C39" s="96"/>
      <c r="D39" s="96"/>
    </row>
    <row r="40" spans="1:4" x14ac:dyDescent="0.2">
      <c r="A40" s="60"/>
      <c r="B40" s="96" t="s">
        <v>281</v>
      </c>
      <c r="C40" s="96" t="s">
        <v>396</v>
      </c>
      <c r="D40" s="96"/>
    </row>
    <row r="41" spans="1:4" x14ac:dyDescent="0.2">
      <c r="A41" s="60"/>
      <c r="B41" s="100" t="s">
        <v>34</v>
      </c>
      <c r="C41" s="96" t="s">
        <v>373</v>
      </c>
      <c r="D41" s="96"/>
    </row>
    <row r="42" spans="1:4" x14ac:dyDescent="0.2">
      <c r="A42" s="60"/>
      <c r="B42" s="96"/>
      <c r="C42" s="100" t="s">
        <v>550</v>
      </c>
      <c r="D42" s="96" t="s">
        <v>374</v>
      </c>
    </row>
    <row r="43" spans="1:4" x14ac:dyDescent="0.2">
      <c r="B43" s="96"/>
      <c r="C43" s="96"/>
      <c r="D43" s="96"/>
    </row>
    <row r="44" spans="1:4" x14ac:dyDescent="0.2">
      <c r="A44" s="60" t="s">
        <v>173</v>
      </c>
      <c r="B44" s="96" t="s">
        <v>174</v>
      </c>
      <c r="C44" s="96"/>
      <c r="D44" s="96"/>
    </row>
    <row r="45" spans="1:4" x14ac:dyDescent="0.2">
      <c r="A45" s="60"/>
      <c r="B45" s="96" t="s">
        <v>281</v>
      </c>
      <c r="C45" s="96" t="s">
        <v>397</v>
      </c>
      <c r="D45" s="96"/>
    </row>
    <row r="46" spans="1:4" x14ac:dyDescent="0.2">
      <c r="A46" s="60"/>
      <c r="B46" s="100" t="s">
        <v>34</v>
      </c>
      <c r="C46" s="96" t="s">
        <v>373</v>
      </c>
      <c r="D46" s="96"/>
    </row>
    <row r="47" spans="1:4" x14ac:dyDescent="0.2">
      <c r="A47" s="60"/>
      <c r="B47" s="96"/>
      <c r="C47" s="100" t="s">
        <v>551</v>
      </c>
      <c r="D47" s="96" t="s">
        <v>375</v>
      </c>
    </row>
    <row r="48" spans="1:4" x14ac:dyDescent="0.2">
      <c r="B48" s="96"/>
      <c r="C48" s="96"/>
      <c r="D48" s="96"/>
    </row>
    <row r="49" spans="1:4" x14ac:dyDescent="0.2">
      <c r="A49" s="60" t="s">
        <v>175</v>
      </c>
      <c r="B49" s="96" t="s">
        <v>176</v>
      </c>
      <c r="C49" s="96"/>
      <c r="D49" s="96"/>
    </row>
    <row r="50" spans="1:4" x14ac:dyDescent="0.2">
      <c r="A50" s="60"/>
      <c r="B50" s="96" t="s">
        <v>281</v>
      </c>
      <c r="C50" s="96" t="s">
        <v>376</v>
      </c>
      <c r="D50" s="96"/>
    </row>
    <row r="51" spans="1:4" x14ac:dyDescent="0.2">
      <c r="A51" s="60"/>
      <c r="B51" s="100" t="s">
        <v>34</v>
      </c>
      <c r="C51" s="96" t="s">
        <v>373</v>
      </c>
      <c r="D51" s="96"/>
    </row>
    <row r="52" spans="1:4" x14ac:dyDescent="0.2">
      <c r="A52" s="60"/>
      <c r="B52" s="96"/>
      <c r="C52" s="100" t="s">
        <v>552</v>
      </c>
      <c r="D52" s="96" t="s">
        <v>377</v>
      </c>
    </row>
    <row r="53" spans="1:4" x14ac:dyDescent="0.2">
      <c r="B53" s="96"/>
      <c r="C53" s="96"/>
      <c r="D53" s="96"/>
    </row>
    <row r="54" spans="1:4" x14ac:dyDescent="0.2">
      <c r="A54" s="60" t="s">
        <v>177</v>
      </c>
      <c r="B54" t="s">
        <v>178</v>
      </c>
    </row>
    <row r="55" spans="1:4" x14ac:dyDescent="0.2">
      <c r="A55" s="60"/>
      <c r="B55" t="s">
        <v>281</v>
      </c>
      <c r="C55" t="s">
        <v>378</v>
      </c>
    </row>
    <row r="56" spans="1:4" x14ac:dyDescent="0.2">
      <c r="A56" s="60"/>
      <c r="B56" s="60" t="s">
        <v>34</v>
      </c>
      <c r="C56" t="s">
        <v>373</v>
      </c>
    </row>
    <row r="57" spans="1:4" x14ac:dyDescent="0.2">
      <c r="A57" s="60"/>
      <c r="C57" s="60" t="s">
        <v>553</v>
      </c>
      <c r="D57" t="s">
        <v>379</v>
      </c>
    </row>
    <row r="59" spans="1:4" x14ac:dyDescent="0.2">
      <c r="A59" s="60" t="s">
        <v>179</v>
      </c>
      <c r="B59" t="s">
        <v>180</v>
      </c>
    </row>
    <row r="60" spans="1:4" x14ac:dyDescent="0.2">
      <c r="A60" s="60"/>
      <c r="B60" t="s">
        <v>281</v>
      </c>
      <c r="C60" t="s">
        <v>380</v>
      </c>
    </row>
    <row r="61" spans="1:4" x14ac:dyDescent="0.2">
      <c r="A61" s="60"/>
      <c r="B61" s="60" t="s">
        <v>34</v>
      </c>
      <c r="C61" t="s">
        <v>381</v>
      </c>
    </row>
    <row r="62" spans="1:4" x14ac:dyDescent="0.2">
      <c r="A62" s="60"/>
      <c r="C62" s="60" t="s">
        <v>554</v>
      </c>
      <c r="D62" t="s">
        <v>382</v>
      </c>
    </row>
    <row r="64" spans="1:4" x14ac:dyDescent="0.2">
      <c r="A64" s="60"/>
    </row>
    <row r="65" spans="1:3" x14ac:dyDescent="0.2">
      <c r="A65" s="60"/>
      <c r="B65" s="60"/>
    </row>
    <row r="66" spans="1:3" x14ac:dyDescent="0.2">
      <c r="A66" s="60"/>
      <c r="C66" s="60"/>
    </row>
    <row r="68" spans="1:3" x14ac:dyDescent="0.2">
      <c r="A68" s="60"/>
    </row>
    <row r="69" spans="1:3" x14ac:dyDescent="0.2">
      <c r="A69" s="60"/>
      <c r="B69" s="60"/>
    </row>
    <row r="70" spans="1:3" x14ac:dyDescent="0.2">
      <c r="A70" s="60"/>
      <c r="C70" s="60"/>
    </row>
    <row r="72" spans="1:3" x14ac:dyDescent="0.2">
      <c r="A72" s="60"/>
    </row>
    <row r="73" spans="1:3" x14ac:dyDescent="0.2">
      <c r="A73" s="60"/>
      <c r="B73" s="60"/>
    </row>
    <row r="74" spans="1:3" x14ac:dyDescent="0.2">
      <c r="A74" s="60"/>
      <c r="C74" s="60"/>
    </row>
    <row r="76" spans="1:3" x14ac:dyDescent="0.2">
      <c r="A76" s="60"/>
    </row>
    <row r="77" spans="1:3" x14ac:dyDescent="0.2">
      <c r="A77" s="60"/>
      <c r="B77" s="60"/>
    </row>
    <row r="78" spans="1:3" x14ac:dyDescent="0.2">
      <c r="A78" s="60"/>
      <c r="C78" s="60"/>
    </row>
  </sheetData>
  <sheetProtection algorithmName="SHA-512" hashValue="uwFEdbKufjGtI4Z55vRglXuU54cCAlYqlJr9SGpS9lZoOyUK94aPzBnh3TxaEZwkkYTFIEnlO3NF8I9ReDltxA==" saltValue="3rJ0egAK1y18DlP+CiPYTg==" spinCount="100000" sheet="1" objects="1" scenarios="1"/>
  <mergeCells count="58">
    <mergeCell ref="L1:M1"/>
    <mergeCell ref="B1:C1"/>
    <mergeCell ref="D1:E1"/>
    <mergeCell ref="F1:G1"/>
    <mergeCell ref="H1:I1"/>
    <mergeCell ref="J1:K1"/>
    <mergeCell ref="Z1:AA1"/>
    <mergeCell ref="AB1:AC1"/>
    <mergeCell ref="AD1:AE1"/>
    <mergeCell ref="B15:C15"/>
    <mergeCell ref="D15:E15"/>
    <mergeCell ref="F15:G15"/>
    <mergeCell ref="H15:I15"/>
    <mergeCell ref="J15:K15"/>
    <mergeCell ref="L15:M15"/>
    <mergeCell ref="N15:O15"/>
    <mergeCell ref="N1:O1"/>
    <mergeCell ref="P1:Q1"/>
    <mergeCell ref="R1:S1"/>
    <mergeCell ref="T1:U1"/>
    <mergeCell ref="V1:W1"/>
    <mergeCell ref="X1:Y1"/>
    <mergeCell ref="AB15:AC15"/>
    <mergeCell ref="P15:Q15"/>
    <mergeCell ref="R15:S15"/>
    <mergeCell ref="T15:U15"/>
    <mergeCell ref="V15:W15"/>
    <mergeCell ref="X15:Y15"/>
    <mergeCell ref="Z15:AA15"/>
    <mergeCell ref="AB16:AC16"/>
    <mergeCell ref="X19:Y19"/>
    <mergeCell ref="Z19:AA19"/>
    <mergeCell ref="N19:O19"/>
    <mergeCell ref="T19:U19"/>
    <mergeCell ref="AF16:AG16"/>
    <mergeCell ref="AF1:AG1"/>
    <mergeCell ref="AH1:AH2"/>
    <mergeCell ref="B16:C16"/>
    <mergeCell ref="D16:E16"/>
    <mergeCell ref="F16:G16"/>
    <mergeCell ref="H16:I16"/>
    <mergeCell ref="J16:K16"/>
    <mergeCell ref="L16:M16"/>
    <mergeCell ref="N16:O16"/>
    <mergeCell ref="P16:Q16"/>
    <mergeCell ref="R16:S16"/>
    <mergeCell ref="T16:U16"/>
    <mergeCell ref="V16:W16"/>
    <mergeCell ref="X16:Y16"/>
    <mergeCell ref="Z16:AA16"/>
    <mergeCell ref="F19:G19"/>
    <mergeCell ref="F20:G20"/>
    <mergeCell ref="H20:I20"/>
    <mergeCell ref="Z20:AA20"/>
    <mergeCell ref="X20:Y20"/>
    <mergeCell ref="T20:U20"/>
    <mergeCell ref="N20:O20"/>
    <mergeCell ref="H19:I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16"/>
  <sheetViews>
    <sheetView tabSelected="1" workbookViewId="0">
      <pane xSplit="1" topLeftCell="B1" activePane="topRight" state="frozen"/>
      <selection pane="topRight" activeCell="W24" sqref="W24"/>
    </sheetView>
  </sheetViews>
  <sheetFormatPr baseColWidth="10" defaultColWidth="11.1640625" defaultRowHeight="16" x14ac:dyDescent="0.2"/>
  <cols>
    <col min="1" max="1" width="15.83203125" customWidth="1"/>
    <col min="2" max="2" width="14.5" customWidth="1"/>
    <col min="3" max="3" width="12.33203125" customWidth="1"/>
    <col min="4" max="4" width="14.1640625" customWidth="1"/>
    <col min="5" max="5" width="13.6640625" customWidth="1"/>
    <col min="6" max="6" width="14.1640625" customWidth="1"/>
    <col min="8" max="8" width="14.5" customWidth="1"/>
    <col min="9" max="9" width="12.1640625" customWidth="1"/>
    <col min="10" max="10" width="14.33203125" customWidth="1"/>
    <col min="12" max="12" width="14.33203125" customWidth="1"/>
    <col min="13" max="13" width="12.6640625" customWidth="1"/>
    <col min="14" max="14" width="12.83203125" customWidth="1"/>
    <col min="15" max="15" width="13" customWidth="1"/>
    <col min="17" max="17" width="15" customWidth="1"/>
    <col min="18" max="18" width="12.83203125" customWidth="1"/>
    <col min="19" max="19" width="11.6640625" customWidth="1"/>
    <col min="20" max="20" width="14.5" customWidth="1"/>
    <col min="21" max="21" width="12.1640625" customWidth="1"/>
    <col min="22" max="22" width="13.33203125" customWidth="1"/>
    <col min="23" max="23" width="11.83203125" customWidth="1"/>
    <col min="24" max="24" width="13" customWidth="1"/>
    <col min="25" max="25" width="12.1640625" customWidth="1"/>
    <col min="26" max="26" width="11.5" customWidth="1"/>
    <col min="27" max="27" width="11.33203125" customWidth="1"/>
    <col min="28" max="28" width="14.5" customWidth="1"/>
    <col min="29" max="29" width="11.83203125" customWidth="1"/>
    <col min="30" max="30" width="14.33203125" customWidth="1"/>
    <col min="31" max="31" width="12.1640625" customWidth="1"/>
    <col min="32" max="32" width="14.33203125" bestFit="1" customWidth="1"/>
    <col min="33" max="33" width="15.33203125" customWidth="1"/>
    <col min="34" max="34" width="16.33203125" customWidth="1"/>
    <col min="35" max="35" width="13.33203125" bestFit="1" customWidth="1"/>
    <col min="36" max="36" width="14.5" bestFit="1" customWidth="1"/>
  </cols>
  <sheetData>
    <row r="1" spans="1:57" ht="35" customHeight="1" x14ac:dyDescent="0.2">
      <c r="A1" s="2"/>
      <c r="B1" s="128" t="s">
        <v>0</v>
      </c>
      <c r="C1" s="129"/>
      <c r="D1" s="128" t="s">
        <v>1</v>
      </c>
      <c r="E1" s="129"/>
      <c r="F1" s="128" t="s">
        <v>2</v>
      </c>
      <c r="G1" s="129"/>
      <c r="H1" s="128" t="s">
        <v>3</v>
      </c>
      <c r="I1" s="129"/>
      <c r="J1" s="128" t="s">
        <v>4</v>
      </c>
      <c r="K1" s="129"/>
      <c r="L1" s="128" t="s">
        <v>5</v>
      </c>
      <c r="M1" s="129"/>
      <c r="N1" s="128" t="s">
        <v>6</v>
      </c>
      <c r="O1" s="129"/>
      <c r="P1" s="128" t="s">
        <v>7</v>
      </c>
      <c r="Q1" s="129"/>
      <c r="R1" s="128" t="s">
        <v>8</v>
      </c>
      <c r="S1" s="129"/>
      <c r="T1" s="128" t="s">
        <v>9</v>
      </c>
      <c r="U1" s="129"/>
      <c r="V1" s="128" t="s">
        <v>10</v>
      </c>
      <c r="W1" s="129"/>
      <c r="X1" s="128" t="s">
        <v>11</v>
      </c>
      <c r="Y1" s="129"/>
      <c r="Z1" s="128" t="s">
        <v>12</v>
      </c>
      <c r="AA1" s="129"/>
      <c r="AB1" s="128" t="s">
        <v>13</v>
      </c>
      <c r="AC1" s="129"/>
      <c r="AD1" s="130" t="s">
        <v>14</v>
      </c>
      <c r="AE1" s="130"/>
      <c r="AF1" s="139" t="s">
        <v>26</v>
      </c>
      <c r="AG1" s="140"/>
      <c r="AH1" s="131" t="s">
        <v>30</v>
      </c>
      <c r="AI1" s="141" t="s">
        <v>31</v>
      </c>
      <c r="AJ1" s="142" t="s">
        <v>32</v>
      </c>
    </row>
    <row r="2" spans="1:57" ht="35" customHeight="1" x14ac:dyDescent="0.2">
      <c r="A2" s="2"/>
      <c r="B2" s="8" t="s">
        <v>27</v>
      </c>
      <c r="C2" s="9" t="s">
        <v>28</v>
      </c>
      <c r="D2" s="8" t="s">
        <v>27</v>
      </c>
      <c r="E2" s="9" t="s">
        <v>28</v>
      </c>
      <c r="F2" s="8" t="s">
        <v>27</v>
      </c>
      <c r="G2" s="9" t="s">
        <v>28</v>
      </c>
      <c r="H2" s="8" t="s">
        <v>27</v>
      </c>
      <c r="I2" s="9" t="s">
        <v>28</v>
      </c>
      <c r="J2" s="8" t="s">
        <v>27</v>
      </c>
      <c r="K2" s="9" t="s">
        <v>28</v>
      </c>
      <c r="L2" s="8" t="s">
        <v>27</v>
      </c>
      <c r="M2" s="9" t="s">
        <v>28</v>
      </c>
      <c r="N2" s="8" t="s">
        <v>27</v>
      </c>
      <c r="O2" s="9" t="s">
        <v>28</v>
      </c>
      <c r="P2" s="8" t="s">
        <v>27</v>
      </c>
      <c r="Q2" s="9" t="s">
        <v>28</v>
      </c>
      <c r="R2" s="8" t="s">
        <v>27</v>
      </c>
      <c r="S2" s="9" t="s">
        <v>28</v>
      </c>
      <c r="T2" s="8" t="s">
        <v>27</v>
      </c>
      <c r="U2" s="9" t="s">
        <v>28</v>
      </c>
      <c r="V2" s="8" t="s">
        <v>27</v>
      </c>
      <c r="W2" s="9" t="s">
        <v>28</v>
      </c>
      <c r="X2" s="8" t="s">
        <v>27</v>
      </c>
      <c r="Y2" s="9" t="s">
        <v>28</v>
      </c>
      <c r="Z2" s="8" t="s">
        <v>27</v>
      </c>
      <c r="AA2" s="9" t="s">
        <v>28</v>
      </c>
      <c r="AB2" s="8" t="s">
        <v>27</v>
      </c>
      <c r="AC2" s="9" t="s">
        <v>28</v>
      </c>
      <c r="AD2" s="7" t="s">
        <v>27</v>
      </c>
      <c r="AE2" s="22" t="s">
        <v>28</v>
      </c>
      <c r="AF2" s="27" t="s">
        <v>27</v>
      </c>
      <c r="AG2" s="28" t="s">
        <v>28</v>
      </c>
      <c r="AH2" s="131"/>
      <c r="AI2" s="141"/>
      <c r="AJ2" s="143"/>
    </row>
    <row r="3" spans="1:57" x14ac:dyDescent="0.2">
      <c r="A3" s="3" t="s">
        <v>15</v>
      </c>
      <c r="B3" s="10">
        <f>'WP1'!B3+'WP2'!B3+'WP3'!B3+'WP4'!B3+'WP5'!B3+'WP6'!B3+'WP7'!B3+'WP8'!B3</f>
        <v>0</v>
      </c>
      <c r="C3" s="11">
        <f>'WP1'!C3+'WP2'!C3+'WP3'!C3+'WP4'!C3+'WP5'!C3+'WP6'!C3+'WP7'!C3+'WP8'!C3</f>
        <v>0</v>
      </c>
      <c r="D3" s="10">
        <f>'WP1'!D3+'WP2'!D3+'WP3'!D3+'WP4'!D3+'WP5'!D3+'WP6'!D3+'WP7'!D3+'WP8'!D3</f>
        <v>0</v>
      </c>
      <c r="E3" s="11">
        <f>'WP1'!E3+'WP2'!E3+'WP3'!E3+'WP4'!E3+'WP5'!E3+'WP6'!E3+'WP7'!E3+'WP8'!E3</f>
        <v>0</v>
      </c>
      <c r="F3" s="10">
        <f>'WP1'!F3+'WP2'!F3+'WP3'!F3+'WP4'!F3+'WP5'!F3+'WP6'!F3+'WP7'!F3+'WP8'!F3</f>
        <v>0</v>
      </c>
      <c r="G3" s="11">
        <f>'WP1'!G3+'WP2'!G3+'WP3'!G3+'WP4'!G3+'WP5'!G3+'WP6'!G3+'WP7'!G3+'WP8'!G3</f>
        <v>0</v>
      </c>
      <c r="H3" s="10">
        <f>'WP1'!H3+'WP2'!H3+'WP3'!H3+'WP4'!H3+'WP5'!H3+'WP6'!H3+'WP7'!H3+'WP8'!H3</f>
        <v>0</v>
      </c>
      <c r="I3" s="11">
        <f>'WP1'!I3+'WP2'!I3+'WP3'!I3+'WP4'!I3+'WP5'!I3+'WP6'!I3+'WP7'!I3+'WP8'!I3</f>
        <v>58746.666666666664</v>
      </c>
      <c r="J3" s="10">
        <f>'WP1'!J3+'WP2'!J3+'WP3'!J3+'WP4'!J3+'WP5'!J3+'WP6'!J3+'WP7'!J3+'WP8'!J3</f>
        <v>85400</v>
      </c>
      <c r="K3" s="11">
        <f>'WP1'!K3+'WP2'!K3+'WP3'!K3+'WP4'!K3+'WP5'!K3+'WP6'!K3+'WP7'!K3+'WP8'!K3</f>
        <v>0</v>
      </c>
      <c r="L3" s="10">
        <f>'WP1'!L3+'WP2'!L3+'WP3'!L3+'WP4'!L3+'WP5'!L3+'WP6'!L3+'WP7'!L3+'WP8'!L3</f>
        <v>1539303.44</v>
      </c>
      <c r="M3" s="11">
        <f>'WP1'!M3+'WP2'!M3+'WP3'!M3+'WP4'!M3+'WP5'!M3+'WP6'!M3+'WP7'!M3+'WP8'!M3</f>
        <v>169480</v>
      </c>
      <c r="N3" s="10">
        <f>'WP1'!N3+'WP2'!N3+'WP3'!N3+'WP4'!N3+'WP5'!N3+'WP6'!N3+'WP7'!N3+'WP8'!N3</f>
        <v>198000</v>
      </c>
      <c r="O3" s="11">
        <f>'WP1'!O3+'WP2'!O3+'WP3'!O3+'WP4'!O3+'WP5'!O3+'WP6'!O3+'WP7'!O3+'WP8'!O3</f>
        <v>118216</v>
      </c>
      <c r="P3" s="10">
        <f>'WP1'!P3+'WP2'!P3+'WP3'!P3+'WP4'!P3+'WP5'!P3+'WP6'!P3+'WP7'!P3+'WP8'!P3</f>
        <v>0</v>
      </c>
      <c r="Q3" s="11">
        <f>'WP1'!Q3+'WP2'!Q3+'WP3'!Q3+'WP4'!Q3+'WP5'!Q3+'WP6'!Q3+'WP7'!Q3+'WP8'!Q3</f>
        <v>50160</v>
      </c>
      <c r="R3" s="10">
        <f>'WP1'!R3+'WP2'!R3+'WP3'!R3+'WP4'!R3+'WP5'!R3+'WP6'!R3+'WP7'!R3+'WP8'!R3</f>
        <v>658800</v>
      </c>
      <c r="S3" s="11">
        <f>'WP1'!S3+'WP2'!S3+'WP3'!S3+'WP4'!S3+'WP5'!S3+'WP6'!S3+'WP7'!S3+'WP8'!S3</f>
        <v>219640</v>
      </c>
      <c r="T3" s="10">
        <f>'WP1'!T3+'WP2'!T3+'WP3'!T3+'WP4'!T3+'WP5'!T3+'WP6'!T3+'WP7'!T3+'WP8'!T3</f>
        <v>495100</v>
      </c>
      <c r="U3" s="11">
        <f>'WP1'!U3+'WP2'!U3+'WP3'!U3+'WP4'!U3+'WP5'!U3+'WP6'!U3+'WP7'!U3+'WP8'!U3</f>
        <v>88120</v>
      </c>
      <c r="V3" s="10">
        <f>'WP1'!V3+'WP2'!V3+'WP3'!V3+'WP4'!V3+'WP5'!V3+'WP6'!V3+'WP7'!V3+'WP8'!V3</f>
        <v>0</v>
      </c>
      <c r="W3" s="11">
        <f>'WP1'!W3+'WP2'!W3+'WP3'!W3+'WP4'!W3+'WP5'!W3+'WP6'!W3+'WP7'!W3+'WP8'!W3</f>
        <v>0</v>
      </c>
      <c r="X3" s="10">
        <f>'WP1'!X3+'WP2'!X3+'WP3'!X3+'WP4'!X3+'WP5'!X3+'WP6'!X3+'WP7'!X3+'WP8'!X3</f>
        <v>279160</v>
      </c>
      <c r="Y3" s="11">
        <f>'WP1'!Y3+'WP2'!Y3+'WP3'!Y3+'WP4'!Y3+'WP5'!Y3+'WP6'!Y3+'WP7'!Y3+'WP8'!Y3</f>
        <v>219640</v>
      </c>
      <c r="Z3" s="10">
        <f>'WP1'!Z3+'WP2'!Z3+'WP3'!Z3+'WP4'!Z3+'WP5'!Z3+'WP6'!Z3+'WP7'!Z3+'WP8'!Z3</f>
        <v>92500</v>
      </c>
      <c r="AA3" s="11">
        <f>'WP1'!AA3+'WP2'!AA3+'WP3'!AA3+'WP4'!AA3+'WP5'!AA3+'WP6'!AA3+'WP7'!AA3+'WP8'!AA3</f>
        <v>88120</v>
      </c>
      <c r="AB3" s="10">
        <f>'WP1'!AB3+'WP2'!AB3+'WP3'!AB3+'WP4'!AB3+'WP5'!AB3+'WP6'!AB3+'WP7'!AB3+'WP8'!AB3</f>
        <v>709703.44</v>
      </c>
      <c r="AC3" s="11">
        <f>'WP1'!AC3+'WP2'!AC3+'WP3'!AC3+'WP4'!AC3+'WP5'!AC3+'WP6'!AC3+'WP7'!AC3+'WP8'!AC3</f>
        <v>119661.33333333333</v>
      </c>
      <c r="AD3" s="12">
        <f>'WP1'!AD3+'WP2'!AD3+'WP3'!AD3+'WP4'!AD3+'WP5'!AD3+'WP6'!AD3+'WP7'!AD3+'WP8'!AD3</f>
        <v>459551.72</v>
      </c>
      <c r="AE3" s="23">
        <f>'WP1'!AE3+'WP2'!AE3+'WP3'!AE3+'WP4'!AE3+'WP5'!AE3+'WP6'!AE3+'WP7'!AE3+'WP8'!AE3</f>
        <v>199576</v>
      </c>
      <c r="AF3" s="29">
        <f>B3+D3+F3+H3+J3+L3+N3+P3+R3+T3+V3+X3+Z3+AB3+AD3</f>
        <v>4517518.5999999996</v>
      </c>
      <c r="AG3" s="30">
        <f>C3+E3+G3+I3+K3+M3+O3+Q3+S3+U3+W3+Y3+AA3+AC3+AE3</f>
        <v>1331360</v>
      </c>
      <c r="AH3" s="26">
        <f>AF3+AG3</f>
        <v>5848878.5999999996</v>
      </c>
      <c r="AI3" s="37">
        <f>0.07*AH3</f>
        <v>409421.50200000004</v>
      </c>
      <c r="AJ3" s="40">
        <f>AH3+AI3</f>
        <v>6258300.102</v>
      </c>
      <c r="AL3" s="75" t="s">
        <v>127</v>
      </c>
      <c r="AN3" s="76" t="s">
        <v>128</v>
      </c>
      <c r="AP3" s="75" t="s">
        <v>323</v>
      </c>
      <c r="AR3" s="75" t="s">
        <v>129</v>
      </c>
      <c r="AU3" s="75" t="s">
        <v>130</v>
      </c>
      <c r="AW3" s="75" t="s">
        <v>131</v>
      </c>
      <c r="AZ3" s="75" t="s">
        <v>132</v>
      </c>
      <c r="BB3" s="75" t="s">
        <v>133</v>
      </c>
      <c r="BE3" s="75" t="s">
        <v>135</v>
      </c>
    </row>
    <row r="4" spans="1:57" x14ac:dyDescent="0.2">
      <c r="A4" s="3" t="s">
        <v>16</v>
      </c>
      <c r="B4" s="10">
        <f>'WP1'!B4+'WP2'!B4+'WP3'!B4+'WP4'!B4+'WP5'!B4+'WP6'!B4+'WP7'!B4+'WP8'!B4</f>
        <v>0</v>
      </c>
      <c r="C4" s="11">
        <f>'WP1'!C4+'WP2'!C4+'WP3'!C4+'WP4'!C4+'WP5'!C4+'WP6'!C4+'WP7'!C4+'WP8'!C4</f>
        <v>0</v>
      </c>
      <c r="D4" s="10">
        <f>'WP1'!D4+'WP2'!D4+'WP3'!D4+'WP4'!D4+'WP5'!D4+'WP6'!D4+'WP7'!D4+'WP8'!D4</f>
        <v>0</v>
      </c>
      <c r="E4" s="11">
        <f>'WP1'!E4+'WP2'!E4+'WP3'!E4+'WP4'!E4+'WP5'!E4+'WP6'!E4+'WP7'!E4+'WP8'!E4</f>
        <v>0</v>
      </c>
      <c r="F4" s="10">
        <f>'WP1'!F4+'WP2'!F4+'WP3'!F4+'WP4'!F4+'WP5'!F4+'WP6'!F4+'WP7'!F4+'WP8'!F4</f>
        <v>0</v>
      </c>
      <c r="G4" s="11">
        <f>'WP1'!G4+'WP2'!G4+'WP3'!G4+'WP4'!G4+'WP5'!G4+'WP6'!G4+'WP7'!G4+'WP8'!G4</f>
        <v>0</v>
      </c>
      <c r="H4" s="10">
        <f>'WP1'!H4+'WP2'!H4+'WP3'!H4+'WP4'!H4+'WP5'!H4+'WP6'!H4+'WP7'!H4+'WP8'!H4</f>
        <v>0</v>
      </c>
      <c r="I4" s="11">
        <f>'WP1'!I4+'WP2'!I4+'WP3'!I4+'WP4'!I4+'WP5'!I4+'WP6'!I4+'WP7'!I4+'WP8'!AE4</f>
        <v>0</v>
      </c>
      <c r="J4" s="10">
        <f>'WP1'!J4+'WP2'!J4+'WP3'!J4+'WP4'!J4+'WP5'!J4+'WP6'!J4+'WP7'!J4+'WP8'!J4</f>
        <v>0</v>
      </c>
      <c r="K4" s="11">
        <f>'WP1'!K4+'WP2'!K4+'WP3'!K4+'WP4'!K4+'WP5'!K4+'WP6'!K4+'WP7'!K4+'WP8'!K4</f>
        <v>0</v>
      </c>
      <c r="L4" s="10">
        <f>'WP1'!L4+'WP2'!L4+'WP3'!L4+'WP4'!L4+'WP5'!L4+'WP6'!L4+'WP7'!L4+'WP8'!L4</f>
        <v>244000</v>
      </c>
      <c r="M4" s="11">
        <f>'WP1'!M4+'WP2'!M4+'WP3'!M4+'WP4'!M4+'WP5'!M4+'WP6'!M4+'WP7'!M4+'WP8'!M4</f>
        <v>0</v>
      </c>
      <c r="N4" s="10">
        <f>'WP1'!N4+'WP2'!N4+'WP3'!N4+'WP4'!N4+'WP5'!N4+'WP6'!N4+'WP7'!N4+'WP8'!N4</f>
        <v>0</v>
      </c>
      <c r="O4" s="11">
        <f>'WP1'!O4+'WP2'!O4+'WP3'!O4+'WP4'!O4+'WP5'!O4+'WP6'!O4+'WP7'!O4+'WP8'!O4</f>
        <v>0</v>
      </c>
      <c r="P4" s="10">
        <f>'WP1'!P4+'WP2'!P4+'WP3'!P4+'WP4'!P4+'WP5'!P4+'WP6'!P4+'WP7'!P4+'WP8'!P4</f>
        <v>0</v>
      </c>
      <c r="Q4" s="11">
        <f>'WP1'!Q4+'WP2'!Q4+'WP3'!Q4+'WP4'!Q4+'WP5'!Q4+'WP6'!Q4+'WP7'!Q4+'WP8'!Q4</f>
        <v>0</v>
      </c>
      <c r="R4" s="10">
        <f>'WP1'!R4+'WP2'!R4+'WP3'!R4+'WP4'!R4+'WP5'!R4+'WP6'!R4+'WP7'!R4+'WP8'!R4</f>
        <v>0</v>
      </c>
      <c r="S4" s="11">
        <f>'WP1'!S4+'WP2'!S4+'WP3'!S4+'WP4'!S4+'WP5'!S4+'WP6'!S4+'WP7'!S4+'WP8'!S4</f>
        <v>6270</v>
      </c>
      <c r="T4" s="10">
        <f>'WP1'!T4+'WP2'!T4+'WP3'!T4+'WP4'!T4+'WP5'!T4+'WP6'!T4+'WP7'!T4+'WP8'!T4</f>
        <v>18300</v>
      </c>
      <c r="U4" s="11">
        <f>'WP1'!U4+'WP2'!U4+'WP3'!U4+'WP4'!U4+'WP5'!U4+'WP6'!U4+'WP7'!U4+'WP8'!U4</f>
        <v>18810</v>
      </c>
      <c r="V4" s="10">
        <f>'WP1'!V4+'WP2'!V4+'WP3'!V4+'WP4'!V4+'WP5'!V4+'WP6'!V4+'WP7'!V4+'WP8'!V4</f>
        <v>0</v>
      </c>
      <c r="W4" s="11">
        <f>'WP1'!W4+'WP2'!W4+'WP3'!W4+'WP4'!W4+'WP5'!W4+'WP6'!W4+'WP7'!W4+'WP8'!W4</f>
        <v>8360</v>
      </c>
      <c r="X4" s="10">
        <f>'WP1'!X4+'WP2'!X4+'WP3'!X4+'WP4'!X4+'WP5'!X4+'WP6'!X4+'WP7'!X4+'WP8'!X4</f>
        <v>0</v>
      </c>
      <c r="Y4" s="11">
        <f>'WP1'!Y4+'WP2'!Y4+'WP3'!Y4+'WP4'!Y4+'WP5'!Y4+'WP6'!Y4+'WP7'!Y4+'WP8'!Y4</f>
        <v>16720</v>
      </c>
      <c r="Z4" s="10">
        <f>'WP1'!Z4+'WP2'!Z4+'WP3'!Z4+'WP4'!Z4+'WP5'!Z4+'WP6'!Z4+'WP7'!Z4+'WP8'!Z4</f>
        <v>0</v>
      </c>
      <c r="AA4" s="11">
        <f>'WP1'!AA4+'WP2'!AA4+'WP3'!AA4+'WP4'!AA4+'WP5'!AA4+'WP6'!AA4+'WP7'!AA4+'WP8'!AA4</f>
        <v>0</v>
      </c>
      <c r="AB4" s="10">
        <f>'WP1'!AB4+'WP2'!AB4+'WP3'!AB4+'WP4'!AB4+'WP5'!AB4+'WP6'!AB4+'WP7'!AB4+'WP8'!AB4</f>
        <v>244000</v>
      </c>
      <c r="AC4" s="11">
        <f>'WP1'!AC4+'WP2'!AC4+'WP3'!AC4+'WP4'!AC4+'WP5'!AC4+'WP6'!AC4+'WP7'!AC4+'WP8'!AC4</f>
        <v>0</v>
      </c>
      <c r="AD4" s="12">
        <f>'WP1'!AD4+'WP2'!AD4+'WP3'!AD4+'WP4'!AD4+'WP5'!AD4+'WP6'!AD4+'WP7'!AD4+'WP8'!AD4</f>
        <v>122000</v>
      </c>
      <c r="AE4" s="23">
        <f>'WP1'!AE4+'WP2'!AE4+'WP3'!AE4+'WP4'!AE4+'WP5'!AE4+'WP6'!AE4+'WP7'!AE4+'WP8'!AE4</f>
        <v>0</v>
      </c>
      <c r="AF4" s="29">
        <f t="shared" ref="AF4:AF14" si="0">B4+D4+F4+H4+J4+L4+N4+P4+R4+T4+V4+X4+Z4+AB4+AD4</f>
        <v>628300</v>
      </c>
      <c r="AG4" s="30">
        <f t="shared" ref="AG4:AG14" si="1">C4+E4+G4+I4+K4+M4+O4+Q4+S4+U4+W4+Y4+AA4+AC4+AE4</f>
        <v>50160</v>
      </c>
      <c r="AH4" s="26">
        <f t="shared" ref="AH4:AH14" si="2">AF4+AG4</f>
        <v>678460</v>
      </c>
      <c r="AI4" s="37">
        <f t="shared" ref="AI4:AI14" si="3">0.07*AH4</f>
        <v>47492.200000000004</v>
      </c>
      <c r="AJ4" s="40">
        <f t="shared" ref="AJ4:AJ14" si="4">AH4+AI4</f>
        <v>725952.2</v>
      </c>
      <c r="AL4" t="s">
        <v>136</v>
      </c>
    </row>
    <row r="5" spans="1:57" x14ac:dyDescent="0.2">
      <c r="A5" s="3" t="s">
        <v>17</v>
      </c>
      <c r="B5" s="10">
        <f>'WP1'!B5+'WP2'!B5+'WP3'!B5+'WP4'!B5+'WP5'!B5+'WP6'!B5+'WP7'!B5+'WP8'!B5</f>
        <v>0</v>
      </c>
      <c r="C5" s="11">
        <f>'WP1'!C5+'WP2'!C5+'WP3'!C5+'WP4'!C5+'WP5'!C5+'WP6'!C5+'WP7'!C5+'WP8'!C5</f>
        <v>0</v>
      </c>
      <c r="D5" s="10">
        <f>'WP1'!D5+'WP2'!D5+'WP3'!D5+'WP4'!D5+'WP5'!D5+'WP6'!D5+'WP7'!D5+'WP8'!D5</f>
        <v>0</v>
      </c>
      <c r="E5" s="11">
        <f>'WP1'!E5+'WP2'!E5+'WP3'!E5+'WP4'!E5+'WP5'!E5+'WP6'!E5+'WP7'!E5+'WP8'!E5</f>
        <v>0</v>
      </c>
      <c r="F5" s="10">
        <f>'WP1'!F5+'WP2'!F5+'WP3'!F5+'WP4'!F5+'WP5'!F5+'WP6'!F5+'WP7'!F5+'WP8'!F5</f>
        <v>0</v>
      </c>
      <c r="G5" s="11">
        <f>'WP1'!G5+'WP2'!G5+'WP3'!G5+'WP4'!G5+'WP5'!G5+'WP6'!G5+'WP7'!G5+'WP8'!G5</f>
        <v>0</v>
      </c>
      <c r="H5" s="10">
        <f>'WP1'!H5+'WP2'!H5+'WP3'!H5+'WP4'!H5+'WP5'!H5+'WP6'!H5+'WP7'!H5+'WP8'!H5</f>
        <v>0</v>
      </c>
      <c r="I5" s="11">
        <f>'WP1'!I5+'WP2'!I5+'WP3'!I5+'WP4'!I5+'WP5'!I5+'WP6'!I5+'WP7'!I5+'WP8'!AE5</f>
        <v>0</v>
      </c>
      <c r="J5" s="10">
        <f>'WP1'!J5+'WP2'!J5+'WP3'!J5+'WP4'!J5+'WP5'!J5+'WP6'!J5+'WP7'!J5+'WP8'!J5</f>
        <v>18300</v>
      </c>
      <c r="K5" s="11">
        <f>'WP1'!K5+'WP2'!K5+'WP3'!K5+'WP4'!K5+'WP5'!K5+'WP6'!K5+'WP7'!K5+'WP8'!K5</f>
        <v>0</v>
      </c>
      <c r="L5" s="10">
        <f>'WP1'!L5+'WP2'!L5+'WP3'!L5+'WP4'!L5+'WP5'!L5+'WP6'!L5+'WP7'!L5+'WP8'!L5</f>
        <v>414800</v>
      </c>
      <c r="M5" s="11">
        <f>'WP1'!M5+'WP2'!M5+'WP3'!M5+'WP4'!M5+'WP5'!M5+'WP6'!M5+'WP7'!M5+'WP8'!M5</f>
        <v>0</v>
      </c>
      <c r="N5" s="10">
        <f>'WP1'!N5+'WP2'!N5+'WP3'!N5+'WP4'!N5+'WP5'!N5+'WP6'!N5+'WP7'!N5+'WP8'!N5</f>
        <v>0</v>
      </c>
      <c r="O5" s="11">
        <f>'WP1'!O5+'WP2'!O5+'WP3'!O5+'WP4'!O5+'WP5'!O5+'WP6'!O5+'WP7'!O5+'WP8'!O5</f>
        <v>0</v>
      </c>
      <c r="P5" s="10">
        <f>'WP1'!P5+'WP2'!P5+'WP3'!P5+'WP4'!P5+'WP5'!P5+'WP6'!P5+'WP7'!P5+'WP8'!P5</f>
        <v>0</v>
      </c>
      <c r="Q5" s="11">
        <f>'WP1'!Q5+'WP2'!Q5+'WP3'!Q5+'WP4'!Q5+'WP5'!Q5+'WP6'!Q5+'WP7'!Q5+'WP8'!Q5</f>
        <v>0</v>
      </c>
      <c r="R5" s="10">
        <f>'WP1'!R5+'WP2'!R5+'WP3'!R5+'WP4'!R5+'WP5'!R5+'WP6'!R5+'WP7'!R5+'WP8'!R5</f>
        <v>414800</v>
      </c>
      <c r="S5" s="11">
        <f>'WP1'!S5+'WP2'!S5+'WP3'!S5+'WP4'!S5+'WP5'!S5+'WP6'!S5+'WP7'!S5+'WP8'!S5</f>
        <v>0</v>
      </c>
      <c r="T5" s="10">
        <f>'WP1'!T5+'WP2'!T5+'WP3'!T5+'WP4'!T5+'WP5'!T5+'WP6'!T5+'WP7'!T5+'WP8'!T5</f>
        <v>221600</v>
      </c>
      <c r="U5" s="11">
        <f>'WP1'!U5+'WP2'!U5+'WP3'!U5+'WP4'!U5+'WP5'!U5+'WP6'!U5+'WP7'!U5+'WP8'!U5</f>
        <v>16720</v>
      </c>
      <c r="V5" s="10">
        <f>'WP1'!V5+'WP2'!V5+'WP3'!V5+'WP4'!V5+'WP5'!V5+'WP6'!V5+'WP7'!V5+'WP8'!V5</f>
        <v>0</v>
      </c>
      <c r="W5" s="11">
        <f>'WP1'!W5+'WP2'!W5+'WP3'!W5+'WP4'!W5+'WP5'!W5+'WP6'!W5+'WP7'!W5+'WP8'!W5</f>
        <v>50160</v>
      </c>
      <c r="X5" s="10">
        <f>'WP1'!X5+'WP2'!X5+'WP3'!X5+'WP4'!X5+'WP5'!X5+'WP6'!X5+'WP7'!X5+'WP8'!X5</f>
        <v>0</v>
      </c>
      <c r="Y5" s="11">
        <f>'WP1'!Y5+'WP2'!Y5+'WP3'!Y5+'WP4'!Y5+'WP5'!Y5+'WP6'!Y5+'WP7'!Y5+'WP8'!Y5</f>
        <v>25080</v>
      </c>
      <c r="Z5" s="10">
        <f>'WP1'!Z5+'WP2'!Z5+'WP3'!Z5+'WP4'!Z5+'WP5'!Z5+'WP6'!Z5+'WP7'!Z5+'WP8'!Z5</f>
        <v>14200</v>
      </c>
      <c r="AA5" s="11">
        <f>'WP1'!AA5+'WP2'!AA5+'WP3'!AA5+'WP4'!AA5+'WP5'!AA5+'WP6'!AA5+'WP7'!AA5+'WP8'!AA5</f>
        <v>8360</v>
      </c>
      <c r="AB5" s="10">
        <f>'WP1'!AB5+'WP2'!AB5+'WP3'!AB5+'WP4'!AB5+'WP5'!AB5+'WP6'!AB5+'WP7'!AB5+'WP8'!AB5</f>
        <v>24400</v>
      </c>
      <c r="AC5" s="11">
        <f>'WP1'!AC5+'WP2'!AC5+'WP3'!AC5+'WP4'!AC5+'WP5'!AC5+'WP6'!AC5+'WP7'!AC5+'WP8'!AC5</f>
        <v>25080</v>
      </c>
      <c r="AD5" s="12">
        <f>'WP1'!AD5+'WP2'!AD5+'WP3'!AD5+'WP4'!AD5+'WP5'!AD5+'WP6'!AD5+'WP7'!AD5+'WP8'!AD5</f>
        <v>0</v>
      </c>
      <c r="AE5" s="23">
        <f>'WP1'!AE5+'WP2'!AE5+'WP3'!AE5+'WP4'!AE5+'WP5'!AE5+'WP6'!AE5+'WP7'!AE5+'WP8'!AE5</f>
        <v>37620</v>
      </c>
      <c r="AF5" s="29">
        <f t="shared" si="0"/>
        <v>1108100</v>
      </c>
      <c r="AG5" s="30">
        <f t="shared" si="1"/>
        <v>163020</v>
      </c>
      <c r="AH5" s="26">
        <f t="shared" si="2"/>
        <v>1271120</v>
      </c>
      <c r="AI5" s="37">
        <f t="shared" si="3"/>
        <v>88978.400000000009</v>
      </c>
      <c r="AJ5" s="40">
        <f t="shared" si="4"/>
        <v>1360098.4</v>
      </c>
      <c r="AL5" t="s">
        <v>137</v>
      </c>
      <c r="AN5" t="s">
        <v>138</v>
      </c>
      <c r="AP5" t="s">
        <v>139</v>
      </c>
    </row>
    <row r="6" spans="1:57" x14ac:dyDescent="0.2">
      <c r="A6" s="3" t="s">
        <v>18</v>
      </c>
      <c r="B6" s="10">
        <f>'WP1'!B6+'WP2'!B6+'WP3'!B6+'WP4'!B6+'WP5'!B6+'WP6'!B6+'WP7'!B6+'WP8'!B6</f>
        <v>0</v>
      </c>
      <c r="C6" s="11">
        <f>'WP1'!C6+'WP2'!C6+'WP3'!C6+'WP4'!C6+'WP5'!C6+'WP6'!C6+'WP7'!C6+'WP8'!C6</f>
        <v>0</v>
      </c>
      <c r="D6" s="10">
        <f>'WP1'!D6+'WP2'!D6+'WP3'!D6+'WP4'!D6+'WP5'!D6+'WP6'!D6+'WP7'!D6+'WP8'!D6</f>
        <v>0</v>
      </c>
      <c r="E6" s="11">
        <f>'WP1'!E6+'WP2'!E6+'WP3'!E6+'WP4'!E6+'WP5'!E6+'WP6'!E6+'WP7'!E6+'WP8'!E6</f>
        <v>0</v>
      </c>
      <c r="F6" s="10">
        <f>'WP1'!F6+'WP2'!F6+'WP3'!F6+'WP4'!F6+'WP5'!F6+'WP6'!F6+'WP7'!F6+'WP8'!F6</f>
        <v>0</v>
      </c>
      <c r="G6" s="11">
        <f>'WP1'!G6+'WP2'!G6+'WP3'!G6+'WP4'!G6+'WP5'!G6+'WP6'!G6+'WP7'!G6+'WP8'!G6</f>
        <v>0</v>
      </c>
      <c r="H6" s="10">
        <f>'WP1'!H6+'WP2'!H6+'WP3'!H6+'WP4'!H6+'WP5'!H6+'WP6'!H6+'WP7'!H6+'WP8'!H6</f>
        <v>0</v>
      </c>
      <c r="I6" s="11">
        <f>'WP1'!I6+'WP2'!I6+'WP3'!I6+'WP4'!I6+'WP5'!I6+'WP6'!I6+'WP7'!I6+'WP8'!I6</f>
        <v>0</v>
      </c>
      <c r="J6" s="10">
        <f>'WP1'!J6+'WP2'!J6+'WP3'!J6+'WP4'!J6+'WP5'!J6+'WP6'!J6+'WP7'!J6+'WP8'!J6</f>
        <v>0</v>
      </c>
      <c r="K6" s="11">
        <f>'WP1'!K6+'WP2'!K6+'WP3'!K6+'WP4'!K6+'WP5'!K6+'WP6'!K6+'WP7'!K6+'WP8'!K6</f>
        <v>0</v>
      </c>
      <c r="L6" s="10">
        <f>'WP1'!L6+'WP2'!L6+'WP3'!L6+'WP4'!L6+'WP5'!L6+'WP6'!L6+'WP7'!L6+'WP8'!L6</f>
        <v>190612.8</v>
      </c>
      <c r="M6" s="11">
        <f>'WP1'!M6+'WP2'!M6+'WP3'!M6+'WP4'!M6+'WP5'!M6+'WP6'!M6+'WP7'!M6+'WP8'!M6</f>
        <v>20900</v>
      </c>
      <c r="N6" s="10">
        <f>'WP1'!N6+'WP2'!N6+'WP3'!N6+'WP4'!N6+'WP5'!N6+'WP6'!N6+'WP7'!N6+'WP8'!N6</f>
        <v>0</v>
      </c>
      <c r="O6" s="11">
        <f>'WP1'!O6+'WP2'!O6+'WP3'!O6+'WP4'!O6+'WP5'!O6+'WP6'!O6+'WP7'!O6+'WP8'!O6</f>
        <v>0</v>
      </c>
      <c r="P6" s="10">
        <f>'WP1'!P6+'WP2'!P6+'WP3'!P6+'WP4'!P6+'WP5'!P6+'WP6'!P6+'WP7'!P6+'WP8'!P6</f>
        <v>0</v>
      </c>
      <c r="Q6" s="11">
        <f>'WP1'!Q6+'WP2'!Q6+'WP3'!Q6+'WP4'!Q6+'WP5'!Q6+'WP6'!Q6+'WP7'!Q6+'WP8'!Q6</f>
        <v>0</v>
      </c>
      <c r="R6" s="10">
        <f>'WP1'!R6+'WP2'!R6+'WP3'!R6+'WP4'!R6+'WP5'!R6+'WP6'!R6+'WP7'!R6+'WP8'!R6</f>
        <v>190612.8</v>
      </c>
      <c r="S6" s="11">
        <f>'WP1'!S6+'WP2'!S6+'WP3'!S6+'WP4'!S6+'WP5'!S6+'WP6'!S6+'WP7'!S6+'WP8'!S6</f>
        <v>16720</v>
      </c>
      <c r="T6" s="10">
        <f>'WP1'!T6+'WP2'!T6+'WP3'!T6+'WP4'!T6+'WP5'!T6+'WP6'!T6+'WP7'!T6+'WP8'!T6</f>
        <v>102406.39999999999</v>
      </c>
      <c r="U6" s="11">
        <f>'WP1'!U6+'WP2'!U6+'WP3'!U6+'WP4'!U6+'WP5'!U6+'WP6'!U6+'WP7'!U6+'WP8'!U6</f>
        <v>12540</v>
      </c>
      <c r="V6" s="10">
        <f>'WP1'!V6+'WP2'!V6+'WP3'!V6+'WP4'!V6+'WP5'!V6+'WP6'!V6+'WP7'!V6+'WP8'!V6</f>
        <v>0</v>
      </c>
      <c r="W6" s="11">
        <f>'WP1'!W6+'WP2'!W6+'WP3'!W6+'WP4'!W6+'WP5'!W6+'WP6'!W6+'WP7'!W6+'WP8'!W6</f>
        <v>0</v>
      </c>
      <c r="X6" s="10">
        <f>'WP1'!X6+'WP2'!X6+'WP3'!X6+'WP4'!X6+'WP5'!X6+'WP6'!X6+'WP7'!X6+'WP8'!X6</f>
        <v>0</v>
      </c>
      <c r="Y6" s="11">
        <f>'WP1'!Y6+'WP2'!Y6+'WP3'!Y6+'WP4'!Y6+'WP5'!Y6+'WP6'!Y6+'WP7'!Y6+'WP8'!Y6</f>
        <v>0</v>
      </c>
      <c r="Z6" s="10">
        <f>'WP1'!Z6+'WP2'!Z6+'WP3'!Z6+'WP4'!Z6+'WP5'!Z6+'WP6'!Z6+'WP7'!Z6+'WP8'!Z6</f>
        <v>7100</v>
      </c>
      <c r="AA6" s="11">
        <f>'WP1'!AA6+'WP2'!AA6+'WP3'!AA6+'WP4'!AA6+'WP5'!AA6+'WP6'!AA6+'WP7'!AA6+'WP8'!AA6</f>
        <v>0</v>
      </c>
      <c r="AB6" s="10">
        <f>'WP1'!AB6+'WP2'!AB6+'WP3'!AB6+'WP4'!AB6+'WP5'!AB6+'WP6'!AB6+'WP7'!AB6+'WP8'!AB6</f>
        <v>0</v>
      </c>
      <c r="AC6" s="11">
        <f>'WP1'!AC6+'WP2'!AC6+'WP3'!AC6+'WP4'!AC6+'WP5'!AC6+'WP6'!AC6+'WP7'!AC6+'WP8'!AC6</f>
        <v>37620</v>
      </c>
      <c r="AD6" s="12">
        <f>'WP1'!AD6+'WP2'!AD6+'WP3'!AD6+'WP4'!AD6+'WP5'!AD6+'WP6'!AD6+'WP7'!AD6+'WP8'!AD6</f>
        <v>0</v>
      </c>
      <c r="AE6" s="23">
        <f>'WP1'!AE6+'WP2'!AE6+'WP3'!AE6+'WP4'!AE6+'WP5'!AE6+'WP6'!AE6+'WP7'!AE6+'WP8'!AE6</f>
        <v>8360</v>
      </c>
      <c r="AF6" s="29">
        <f t="shared" si="0"/>
        <v>490732</v>
      </c>
      <c r="AG6" s="30">
        <f t="shared" si="1"/>
        <v>96140</v>
      </c>
      <c r="AH6" s="26">
        <f t="shared" si="2"/>
        <v>586872</v>
      </c>
      <c r="AI6" s="37">
        <f t="shared" si="3"/>
        <v>41081.040000000001</v>
      </c>
      <c r="AJ6" s="40">
        <f t="shared" si="4"/>
        <v>627953.04</v>
      </c>
      <c r="AL6" t="s">
        <v>140</v>
      </c>
    </row>
    <row r="7" spans="1:57" x14ac:dyDescent="0.2">
      <c r="A7" s="3" t="s">
        <v>19</v>
      </c>
      <c r="B7" s="10">
        <f>'WP1'!B7+'WP2'!B7+'WP3'!B7+'WP4'!B7+'WP5'!B7+'WP6'!B7+'WP7'!B7+'WP8'!B7</f>
        <v>0</v>
      </c>
      <c r="C7" s="11">
        <f>'WP1'!C7+'WP2'!C7+'WP3'!C7+'WP4'!C7+'WP5'!C7+'WP6'!C7+'WP7'!C7+'WP8'!C7</f>
        <v>0</v>
      </c>
      <c r="D7" s="10">
        <f>'WP1'!D7+'WP2'!D7+'WP3'!D7+'WP4'!D7+'WP5'!D7+'WP6'!D7+'WP7'!D7+'WP8'!D7</f>
        <v>0</v>
      </c>
      <c r="E7" s="11">
        <f>'WP1'!E7+'WP2'!E7+'WP3'!E7+'WP4'!E7+'WP5'!E7+'WP6'!E7+'WP7'!E7+'WP8'!E7</f>
        <v>0</v>
      </c>
      <c r="F7" s="10">
        <f>'WP1'!F7+'WP2'!F7+'WP3'!F7+'WP4'!F7+'WP5'!F7+'WP6'!F7+'WP7'!F7+'WP8'!F7</f>
        <v>0</v>
      </c>
      <c r="G7" s="11">
        <f>'WP1'!G7+'WP2'!G7+'WP3'!G7+'WP4'!G7+'WP5'!G7+'WP6'!G7+'WP7'!G7+'WP8'!G7</f>
        <v>0</v>
      </c>
      <c r="H7" s="10">
        <f>'WP1'!H7+'WP2'!H7+'WP3'!H7+'WP4'!H7+'WP5'!H7+'WP6'!H7+'WP7'!H7+'WP8'!H7</f>
        <v>0</v>
      </c>
      <c r="I7" s="11">
        <f>'WP1'!I7+'WP2'!I7+'WP3'!I7+'WP4'!I7+'WP5'!I7+'WP6'!I7+'WP7'!I7+'WP8'!I7</f>
        <v>0</v>
      </c>
      <c r="J7" s="10">
        <f>'WP1'!J7+'WP2'!J7+'WP3'!J7+'WP4'!J7+'WP5'!J7+'WP6'!J7+'WP7'!J7+'WP8'!J7</f>
        <v>0</v>
      </c>
      <c r="K7" s="11">
        <f>'WP1'!K7+'WP2'!K7+'WP3'!K7+'WP4'!K7+'WP5'!K7+'WP6'!K7+'WP7'!K7+'WP8'!K7</f>
        <v>16720</v>
      </c>
      <c r="L7" s="10">
        <f>'WP1'!L7+'WP2'!L7+'WP3'!L7+'WP4'!L7+'WP5'!L7+'WP6'!L7+'WP7'!L7+'WP8'!L7</f>
        <v>1464000</v>
      </c>
      <c r="M7" s="11">
        <f>'WP1'!M7+'WP2'!M7+'WP3'!M7+'WP4'!M7+'WP5'!M7+'WP6'!M7+'WP7'!M7+'WP8'!M7</f>
        <v>91960</v>
      </c>
      <c r="N7" s="10">
        <f>'WP1'!N7+'WP2'!N7+'WP3'!N7+'WP4'!N7+'WP5'!N7+'WP6'!N7+'WP7'!N7+'WP8'!L7</f>
        <v>0</v>
      </c>
      <c r="O7" s="11">
        <f>'WP1'!O7+'WP2'!O7+'WP3'!O7+'WP4'!O7+'WP5'!O7+'WP6'!O7+'WP7'!O7+'WP8'!O7</f>
        <v>0</v>
      </c>
      <c r="P7" s="10">
        <f>'WP1'!P7+'WP2'!P7+'WP3'!P7+'WP4'!P7+'WP5'!P7+'WP6'!P7+'WP7'!P7+'WP8'!P7</f>
        <v>0</v>
      </c>
      <c r="Q7" s="11">
        <f>'WP1'!Q7+'WP2'!Q7+'WP3'!Q7+'WP4'!Q7+'WP5'!Q7+'WP6'!Q7+'WP7'!Q7+'WP8'!Q7</f>
        <v>0</v>
      </c>
      <c r="R7" s="10">
        <f>'WP1'!R7+'WP2'!R7+'WP3'!R7+'WP4'!R7+'WP5'!R7+'WP6'!R7+'WP7'!R7+'WP8'!R7</f>
        <v>134200</v>
      </c>
      <c r="S7" s="11">
        <f>'WP1'!S7+'WP2'!S7+'WP3'!S7+'WP4'!S7+'WP5'!S7+'WP6'!S7+'WP7'!S7+'WP8'!S7</f>
        <v>150480</v>
      </c>
      <c r="T7" s="10">
        <f>'WP1'!T7+'WP2'!T7+'WP3'!T7+'WP4'!T7+'WP5'!T7+'WP6'!T7+'WP7'!T7+'WP8'!T7</f>
        <v>49424.9</v>
      </c>
      <c r="U7" s="11">
        <f>'WP1'!U7+'WP2'!U7+'WP3'!U7+'WP4'!U7+'WP5'!U7+'WP6'!U7+'WP7'!U7+'WP8'!U7</f>
        <v>33440</v>
      </c>
      <c r="V7" s="10">
        <f>'WP1'!V7+'WP2'!V7+'WP3'!V7+'WP4'!V7+'WP5'!V7+'WP6'!V7+'WP7'!V7+'WP8'!V7</f>
        <v>138799.40000000002</v>
      </c>
      <c r="W7" s="11">
        <f>'WP1'!W7+'WP2'!W7+'WP3'!W7+'WP4'!W7+'WP5'!W7+'WP6'!W7+'WP7'!W7+'WP8'!W7</f>
        <v>41800</v>
      </c>
      <c r="X7" s="10">
        <f>'WP1'!X7+'WP2'!X7+'WP3'!X7+'WP4'!X7+'WP5'!X7+'WP6'!X7+'WP7'!X7+'WP8'!X7</f>
        <v>14121.4</v>
      </c>
      <c r="Y7" s="11">
        <f>'WP1'!Y7+'WP2'!Y7+'WP3'!Y7+'WP4'!Y7+'WP5'!Y7+'WP6'!Y7+'WP7'!Y7+'WP8'!Y7</f>
        <v>200640</v>
      </c>
      <c r="Z7" s="10">
        <f>'WP1'!Z7+'WP2'!Z7+'WP3'!Z7+'WP4'!Z7+'WP5'!Z7+'WP6'!Z7+'WP7'!Z7+'WP8'!Z7</f>
        <v>7060.7</v>
      </c>
      <c r="AA7" s="11">
        <f>'WP1'!AA7+'WP2'!AA7+'WP3'!AA7+'WP4'!AA7+'WP5'!AA7+'WP6'!AA7+'WP7'!AA7+'WP8'!AA7</f>
        <v>0</v>
      </c>
      <c r="AB7" s="10">
        <f>'WP1'!AB7+'WP2'!AB7+'WP3'!AB7+'WP4'!AB7+'WP5'!AB7+'WP6'!AB7+'WP7'!AB7+'WP8'!AB7</f>
        <v>1464000</v>
      </c>
      <c r="AC7" s="11">
        <f>'WP1'!AC7+'WP2'!AC7+'WP3'!AC7+'WP4'!AC7+'WP5'!AC7+'WP6'!AC7+'WP7'!AC7+'WP8'!AC7</f>
        <v>16720</v>
      </c>
      <c r="AD7" s="12">
        <f>'WP1'!AD7+'WP2'!AD7+'WP3'!AD7+'WP4'!AD7+'WP5'!AD7+'WP6'!AD7+'WP7'!AD7+'WP8'!AD7</f>
        <v>746121.4</v>
      </c>
      <c r="AE7" s="23">
        <f>'WP1'!AE7+'WP2'!AE7+'WP3'!AE7+'WP4'!AE7+'WP5'!AE7+'WP6'!AE7+'WP7'!AE7+'WP8'!AE7</f>
        <v>225720</v>
      </c>
      <c r="AF7" s="29">
        <f t="shared" si="0"/>
        <v>4017727.7999999993</v>
      </c>
      <c r="AG7" s="30">
        <f t="shared" si="1"/>
        <v>777480</v>
      </c>
      <c r="AH7" s="26">
        <f t="shared" si="2"/>
        <v>4795207.7999999989</v>
      </c>
      <c r="AI7" s="37">
        <f t="shared" si="3"/>
        <v>335664.54599999997</v>
      </c>
      <c r="AJ7" s="40">
        <f t="shared" si="4"/>
        <v>5130872.345999999</v>
      </c>
      <c r="AL7" t="s">
        <v>141</v>
      </c>
      <c r="AN7" t="s">
        <v>142</v>
      </c>
      <c r="AP7" t="s">
        <v>143</v>
      </c>
      <c r="AR7" t="s">
        <v>144</v>
      </c>
      <c r="AT7" t="s">
        <v>145</v>
      </c>
      <c r="AV7" t="s">
        <v>146</v>
      </c>
    </row>
    <row r="8" spans="1:57" x14ac:dyDescent="0.2">
      <c r="A8" s="3" t="s">
        <v>20</v>
      </c>
      <c r="B8" s="10">
        <f>'WP1'!B8+'WP2'!B8+'WP3'!B8+'WP4'!B8+'WP5'!B8+'WP6'!B8+'WP7'!B8+'WP8'!B8</f>
        <v>0</v>
      </c>
      <c r="C8" s="11">
        <f>'WP1'!C8+'WP2'!C8+'WP3'!C8+'WP4'!C8+'WP5'!C8+'WP6'!C8+'WP7'!C8+'WP8'!C8</f>
        <v>0</v>
      </c>
      <c r="D8" s="10">
        <f>'WP1'!D8+'WP2'!D8+'WP3'!D8+'WP4'!D8+'WP5'!D8+'WP6'!D8+'WP7'!D8+'WP8'!D8</f>
        <v>0</v>
      </c>
      <c r="E8" s="11">
        <f>'WP1'!E8+'WP2'!E8+'WP3'!E8+'WP4'!E8+'WP5'!E8+'WP6'!E8+'WP7'!E8+'WP8'!E8</f>
        <v>0</v>
      </c>
      <c r="F8" s="10">
        <f>'WP1'!F8+'WP2'!F8+'WP3'!F8+'WP4'!F8+'WP5'!F8+'WP6'!F8+'WP7'!F8+'WP8'!F8</f>
        <v>0</v>
      </c>
      <c r="G8" s="11">
        <f>'WP1'!G8+'WP2'!G8+'WP3'!G8+'WP4'!G8+'WP5'!G8+'WP6'!G8+'WP7'!G8+'WP8'!G8</f>
        <v>0</v>
      </c>
      <c r="H8" s="10">
        <f>'WP1'!H8+'WP2'!H8+'WP3'!H8+'WP4'!H8+'WP5'!H8+'WP6'!H8+'WP7'!H8+'WP8'!H8</f>
        <v>0</v>
      </c>
      <c r="I8" s="11">
        <f>'WP1'!I8+'WP2'!I8+'WP3'!I8+'WP4'!I8+'WP5'!I8+'WP6'!I8+'WP7'!I8+'WP8'!I8</f>
        <v>0</v>
      </c>
      <c r="J8" s="10">
        <f>'WP1'!J8+'WP2'!J8+'WP3'!J8+'WP4'!J8+'WP5'!J8+'WP6'!J8+'WP7'!J8+'WP8'!J8</f>
        <v>0</v>
      </c>
      <c r="K8" s="11">
        <f>'WP1'!K8+'WP2'!K8+'WP3'!K8+'WP4'!K8+'WP5'!K8+'WP6'!K8+'WP7'!K8+'WP8'!K8</f>
        <v>0</v>
      </c>
      <c r="L8" s="10">
        <f>'WP1'!L8+'WP2'!L8+'WP3'!L8+'WP4'!L8+'WP5'!L8+'WP6'!L8+'WP7'!L8+'WP8'!L8</f>
        <v>76616</v>
      </c>
      <c r="M8" s="11">
        <f>'WP1'!M8+'WP2'!M8+'WP3'!M8+'WP4'!M8+'WP5'!M8+'WP6'!M8+'WP7'!M8+'WP8'!M8</f>
        <v>0</v>
      </c>
      <c r="N8" s="10">
        <f>'WP1'!N8+'WP2'!N8+'WP3'!N8+'WP4'!N8+'WP5'!N8+'WP6'!N8+'WP7'!N8+'WP8'!N8</f>
        <v>0</v>
      </c>
      <c r="O8" s="11">
        <f>'WP1'!O8+'WP2'!O8+'WP3'!O8+'WP4'!O8+'WP5'!O8+'WP6'!O8+'WP7'!O8+'WP8'!O8</f>
        <v>0</v>
      </c>
      <c r="P8" s="10">
        <f>'WP1'!P8+'WP2'!P8+'WP3'!P8+'WP4'!P8+'WP5'!P8+'WP6'!P8+'WP7'!P8+'WP8'!P8</f>
        <v>0</v>
      </c>
      <c r="Q8" s="11">
        <f>'WP1'!Q8+'WP2'!Q8+'WP3'!Q8+'WP4'!Q8+'WP5'!Q8+'WP6'!Q8+'WP7'!Q8+'WP8'!Q8</f>
        <v>0</v>
      </c>
      <c r="R8" s="10">
        <f>'WP1'!R8+'WP2'!R8+'WP3'!R8+'WP4'!R8+'WP5'!R8+'WP6'!R8+'WP7'!R8+'WP8'!R8</f>
        <v>76616</v>
      </c>
      <c r="S8" s="11">
        <f>'WP1'!S8+'WP2'!S8+'WP3'!S8+'WP4'!S8+'WP5'!S8+'WP6'!S8+'WP7'!S8+'WP8'!S8</f>
        <v>8360</v>
      </c>
      <c r="T8" s="10">
        <f>'WP1'!T8+'WP2'!T8+'WP3'!T8+'WP4'!T8+'WP5'!T8+'WP6'!T8+'WP7'!T8+'WP8'!T8</f>
        <v>45408</v>
      </c>
      <c r="U8" s="11">
        <f>'WP1'!U8+'WP2'!U8+'WP3'!U8+'WP4'!U8+'WP5'!U8+'WP6'!U8+'WP7'!U8+'WP8'!U8</f>
        <v>4180</v>
      </c>
      <c r="V8" s="10">
        <f>'WP1'!V8+'WP2'!V8+'WP3'!V8+'WP4'!V8+'WP5'!V8+'WP6'!V8+'WP7'!V8+'WP8'!V8</f>
        <v>0</v>
      </c>
      <c r="W8" s="11">
        <f>'WP1'!W8+'WP2'!W8+'WP3'!W8+'WP4'!W8+'WP5'!W8+'WP6'!W8+'WP7'!W8+'WP8'!W8</f>
        <v>0</v>
      </c>
      <c r="X8" s="10">
        <f>'WP1'!X8+'WP2'!X8+'WP3'!X8+'WP4'!X8+'WP5'!X8+'WP6'!X8+'WP7'!X8+'WP8'!X8</f>
        <v>0</v>
      </c>
      <c r="Y8" s="11">
        <f>'WP1'!Y8+'WP2'!Y8+'WP3'!Y8+'WP4'!Y8+'WP5'!Y8+'WP6'!Y8+'WP7'!Y8+'WP8'!Y8</f>
        <v>0</v>
      </c>
      <c r="Z8" s="10">
        <f>'WP1'!Z8+'WP2'!Z8+'WP3'!Z8+'WP4'!Z8+'WP5'!Z8+'WP6'!Z8+'WP7'!Z8+'WP8'!Z8</f>
        <v>7100</v>
      </c>
      <c r="AA8" s="11">
        <f>'WP1'!AA8+'WP2'!AA8+'WP3'!AA8+'WP4'!AA8+'WP5'!AA8+'WP6'!AA8+'WP7'!AA8+'WP8'!AA8</f>
        <v>0</v>
      </c>
      <c r="AB8" s="10">
        <f>'WP1'!AB8+'WP2'!AB8+'WP3'!AB8+'WP4'!AB8+'WP5'!AB8+'WP6'!AB8+'WP7'!AB8+'WP8'!AB8</f>
        <v>0</v>
      </c>
      <c r="AC8" s="11">
        <f>'WP1'!AC8+'WP2'!AC8+'WP3'!AC8+'WP4'!AC8+'WP5'!AC8+'WP6'!AC8+'WP7'!AC8+'WP8'!AC8</f>
        <v>37620</v>
      </c>
      <c r="AD8" s="12">
        <f>'WP1'!AD8+'WP2'!AD8+'WP3'!AD8+'WP4'!AD8+'WP5'!AD8+'WP6'!AD8+'WP7'!AD8+'WP8'!AD8</f>
        <v>0</v>
      </c>
      <c r="AE8" s="23">
        <f>'WP1'!AE8+'WP2'!AE8+'WP3'!AE8+'WP4'!AE8+'WP5'!AE8+'WP6'!AE8+'WP7'!AE8+'WP8'!AE8</f>
        <v>0</v>
      </c>
      <c r="AF8" s="29">
        <f t="shared" si="0"/>
        <v>205740</v>
      </c>
      <c r="AG8" s="30">
        <f t="shared" si="1"/>
        <v>50160</v>
      </c>
      <c r="AH8" s="26">
        <f t="shared" si="2"/>
        <v>255900</v>
      </c>
      <c r="AI8" s="37">
        <f t="shared" si="3"/>
        <v>17913</v>
      </c>
      <c r="AJ8" s="40">
        <f t="shared" si="4"/>
        <v>273813</v>
      </c>
      <c r="AL8" t="s">
        <v>148</v>
      </c>
    </row>
    <row r="9" spans="1:57" x14ac:dyDescent="0.2">
      <c r="A9" s="3" t="s">
        <v>21</v>
      </c>
      <c r="B9" s="10">
        <f>'WP1'!B9+'WP2'!B9+'WP3'!B9+'WP4'!B9+'WP5'!B9+'WP6'!B9+'WP7'!B9+'WP8'!B9</f>
        <v>0</v>
      </c>
      <c r="C9" s="11">
        <f>'WP1'!C9+'WP2'!C9+'WP3'!C9+'WP4'!C9+'WP5'!C9+'WP6'!C9+'WP7'!C9+'WP8'!C9</f>
        <v>0</v>
      </c>
      <c r="D9" s="10">
        <f>'WP1'!D9+'WP2'!D9+'WP3'!D9+'WP4'!D9+'WP5'!D9+'WP6'!D9+'WP7'!D9+'WP8'!D9</f>
        <v>0</v>
      </c>
      <c r="E9" s="11">
        <f>'WP1'!E9+'WP2'!E9+'WP3'!E9+'WP4'!E9+'WP5'!E9+'WP6'!E9+'WP7'!E9+'WP8'!E9</f>
        <v>0</v>
      </c>
      <c r="F9" s="10">
        <f>'WP1'!F9+'WP2'!F9+'WP3'!F9+'WP4'!F9+'WP5'!F9+'WP6'!F9+'WP7'!F9+'WP8'!F9</f>
        <v>0</v>
      </c>
      <c r="G9" s="11">
        <f>'WP1'!G9+'WP2'!G9+'WP3'!G9+'WP4'!G9+'WP5'!G9+'WP6'!G9+'WP7'!G9+'WP8'!G9</f>
        <v>0</v>
      </c>
      <c r="H9" s="10">
        <f>'WP1'!H9+'WP2'!H9+'WP3'!H9+'WP4'!H9+'WP5'!H9+'WP6'!H9+'WP7'!H9+'WP8'!H9</f>
        <v>0</v>
      </c>
      <c r="I9" s="11">
        <f>'WP1'!I9+'WP2'!I9+'WP3'!I9+'WP4'!I9+'WP5'!I9+'WP6'!I9+'WP7'!I9+'WP8'!I9</f>
        <v>0</v>
      </c>
      <c r="J9" s="10">
        <f>'WP1'!J9+'WP2'!J9+'WP3'!J9+'WP4'!J9+'WP5'!J9+'WP6'!J9+'WP7'!J9+'WP8'!J9</f>
        <v>0</v>
      </c>
      <c r="K9" s="11">
        <f>'WP1'!K9+'WP2'!K9+'WP3'!K9+'WP4'!K9+'WP5'!K9+'WP6'!K9+'WP7'!K9+'WP8'!K9</f>
        <v>0</v>
      </c>
      <c r="L9" s="10">
        <f>'WP1'!L9+'WP2'!L9+'WP3'!L9+'WP4'!L9+'WP5'!L9+'WP6'!L9+'WP7'!L9+'WP8'!L9</f>
        <v>1952000</v>
      </c>
      <c r="M9" s="11">
        <f>'WP1'!M9+'WP2'!M9+'WP3'!M9+'WP4'!M9+'WP5'!M9+'WP6'!M9+'WP7'!M9+'WP8'!M9</f>
        <v>0</v>
      </c>
      <c r="N9" s="10">
        <f>'WP1'!N9+'WP2'!N9+'WP3'!N9+'WP4'!N9+'WP5'!N9+'WP6'!N9+'WP7'!N9+'WP8'!N9</f>
        <v>0</v>
      </c>
      <c r="O9" s="11">
        <f>'WP1'!O9+'WP2'!O9+'WP3'!O9+'WP4'!O9+'WP5'!O9+'WP6'!O9+'WP7'!O9+'WP8'!O9</f>
        <v>0</v>
      </c>
      <c r="P9" s="10">
        <f>'WP1'!P9+'WP2'!P9+'WP3'!P9+'WP4'!P9+'WP5'!P9+'WP6'!P9+'WP7'!P9+'WP8'!P9</f>
        <v>0</v>
      </c>
      <c r="Q9" s="11">
        <f>'WP1'!Q9+'WP2'!Q9+'WP3'!Q9+'WP4'!Q9+'WP5'!Q9+'WP6'!Q9+'WP7'!Q9+'WP8'!Q9</f>
        <v>0</v>
      </c>
      <c r="R9" s="10">
        <f>'WP1'!R9+'WP2'!R9+'WP3'!R9+'WP4'!R9+'WP5'!R9+'WP6'!R9+'WP7'!R9+'WP8'!R9</f>
        <v>0</v>
      </c>
      <c r="S9" s="11">
        <f>'WP1'!S9+'WP2'!S9+'WP3'!S9+'WP4'!S9+'WP5'!S9+'WP6'!S9+'WP7'!S9+'WP8'!S9</f>
        <v>0</v>
      </c>
      <c r="T9" s="10">
        <f>'WP1'!T9+'WP2'!T9+'WP3'!T9+'WP4'!T9+'WP5'!T9+'WP6'!T9+'WP7'!T9+'WP8'!T9</f>
        <v>0</v>
      </c>
      <c r="U9" s="11">
        <f>'WP1'!U9+'WP2'!U9+'WP3'!U9+'WP4'!U9+'WP5'!U9+'WP6'!U9+'WP7'!U9+'WP8'!U9</f>
        <v>41800</v>
      </c>
      <c r="V9" s="10">
        <f>'WP1'!V9+'WP2'!V9+'WP3'!V9+'WP4'!V9+'WP5'!V9+'WP6'!V9+'WP7'!V9+'WP8'!V9</f>
        <v>0</v>
      </c>
      <c r="W9" s="11">
        <f>'WP1'!W9+'WP2'!W9+'WP3'!W9+'WP4'!W9+'WP5'!W9+'WP6'!W9+'WP7'!W9+'WP8'!W9</f>
        <v>0</v>
      </c>
      <c r="X9" s="10">
        <f>'WP1'!X9+'WP2'!X9+'WP3'!X9+'WP4'!X9+'WP5'!X9+'WP6'!X9+'WP7'!X9+'WP8'!X9</f>
        <v>0</v>
      </c>
      <c r="Y9" s="11">
        <f>'WP1'!Y9+'WP2'!Y9+'WP3'!Y9+'WP4'!Y9+'WP5'!Y9+'WP6'!Y9+'WP7'!Y9+'WP8'!Y9</f>
        <v>0</v>
      </c>
      <c r="Z9" s="10">
        <f>'WP1'!Z9+'WP2'!Z9+'WP3'!Z9+'WP4'!Z9+'WP5'!Z9+'WP6'!Z9+'WP7'!Z9+'WP8'!Z9</f>
        <v>0</v>
      </c>
      <c r="AA9" s="11">
        <f>'WP1'!AA9+'WP2'!AA9+'WP3'!AA9+'WP4'!AA9+'WP5'!AA9+'WP6'!AA9+'WP7'!AA9+'WP8'!AA9</f>
        <v>0</v>
      </c>
      <c r="AB9" s="10">
        <f>'WP1'!AB9+'WP2'!AB9+'WP3'!AB9+'WP4'!AB9+'WP5'!AB9+'WP6'!AB9+'WP7'!AB9+'WP8'!AB9</f>
        <v>1952000</v>
      </c>
      <c r="AC9" s="11">
        <f>'WP1'!AC9+'WP2'!AC9+'WP3'!AC9+'WP4'!AC9+'WP5'!AC9+'WP6'!AC9+'WP7'!AC9+'WP8'!AC9</f>
        <v>133760</v>
      </c>
      <c r="AD9" s="12">
        <f>'WP1'!AD9+'WP2'!AD9+'WP3'!AD9+'WP4'!AD9+'WP5'!AD9+'WP6'!AD9+'WP7'!AD9+'WP8'!AD9</f>
        <v>976000</v>
      </c>
      <c r="AE9" s="23">
        <f>'WP1'!AE9+'WP2'!AE9+'WP3'!AE9+'WP4'!AE9+'WP5'!AE9+'WP6'!AE9+'WP7'!AE9+'WP8'!AE9</f>
        <v>25080</v>
      </c>
      <c r="AF9" s="29">
        <f t="shared" si="0"/>
        <v>4880000</v>
      </c>
      <c r="AG9" s="30">
        <f t="shared" si="1"/>
        <v>200640</v>
      </c>
      <c r="AH9" s="26">
        <f t="shared" si="2"/>
        <v>5080640</v>
      </c>
      <c r="AI9" s="37">
        <f t="shared" si="3"/>
        <v>355644.80000000005</v>
      </c>
      <c r="AJ9" s="40">
        <f t="shared" si="4"/>
        <v>5436284.7999999998</v>
      </c>
      <c r="AL9" t="s">
        <v>159</v>
      </c>
      <c r="AN9" t="s">
        <v>160</v>
      </c>
      <c r="AQ9" t="s">
        <v>164</v>
      </c>
    </row>
    <row r="10" spans="1:57" x14ac:dyDescent="0.2">
      <c r="A10" s="3" t="s">
        <v>22</v>
      </c>
      <c r="B10" s="10">
        <f>'WP1'!B10+'WP2'!B10+'WP3'!B10+'WP4'!B10+'WP5'!B10+'WP6'!B10+'WP7'!B10+'WP8'!B10</f>
        <v>0</v>
      </c>
      <c r="C10" s="11">
        <f>'WP1'!C10+'WP2'!C10+'WP3'!C10+'WP4'!C10+'WP5'!C10+'WP6'!C10+'WP7'!C10+'WP8'!C10</f>
        <v>0</v>
      </c>
      <c r="D10" s="10">
        <f>'WP1'!D10+'WP2'!D10+'WP3'!D10+'WP4'!D10+'WP5'!D10+'WP6'!D10+'WP7'!D10+'WP8'!D10</f>
        <v>0</v>
      </c>
      <c r="E10" s="11">
        <f>'WP1'!E10+'WP2'!E10+'WP3'!E10+'WP4'!E10+'WP5'!E10+'WP6'!E10+'WP7'!E10+'WP8'!E10</f>
        <v>0</v>
      </c>
      <c r="F10" s="10">
        <f>'WP1'!F10+'WP2'!F10+'WP3'!F10+'WP4'!F10+'WP5'!F10+'WP6'!F10+'WP7'!F10+'WP8'!F10</f>
        <v>0</v>
      </c>
      <c r="G10" s="11">
        <f>'WP1'!G10+'WP2'!G10+'WP3'!G10+'WP4'!G10+'WP5'!G10+'WP6'!G10+'WP7'!G10+'WP8'!G10</f>
        <v>0</v>
      </c>
      <c r="H10" s="10">
        <f>'WP1'!H10+'WP2'!H10+'WP3'!H10+'WP4'!H10+'WP5'!H10+'WP6'!H10+'WP7'!H10+'WP8'!H10</f>
        <v>0</v>
      </c>
      <c r="I10" s="11">
        <f>'WP1'!I10+'WP2'!I10+'WP3'!I10+'WP4'!I10+'WP5'!I10+'WP6'!I10+'WP7'!I10+'WP8'!I10</f>
        <v>0</v>
      </c>
      <c r="J10" s="10">
        <f>'WP1'!J10+'WP2'!J10+'WP3'!J10+'WP4'!J10+'WP5'!J10+'WP6'!J10+'WP7'!J10+'WP8'!J10</f>
        <v>0</v>
      </c>
      <c r="K10" s="11">
        <f>'WP1'!K10+'WP2'!K10+'WP3'!K10+'WP4'!K10+'WP5'!K10+'WP6'!K10+'WP7'!K10+'WP8'!K10</f>
        <v>8360</v>
      </c>
      <c r="L10" s="10">
        <f>'WP1'!L10+'WP2'!L10+'WP3'!L10+'WP4'!L10+'WP5'!L10+'WP6'!L10+'WP7'!L10+'WP8'!L10</f>
        <v>622200</v>
      </c>
      <c r="M10" s="11">
        <f>'WP1'!M10+'WP2'!M10+'WP3'!M10+'WP4'!M10+'WP5'!M10+'WP6'!M10+'WP7'!M10+'WP8'!M10</f>
        <v>106780</v>
      </c>
      <c r="N10" s="10">
        <f>'WP1'!N10+'WP2'!N10+'WP3'!N10+'WP4'!N10+'WP5'!N10+'WP6'!N10+'WP7'!N10+'WP8'!N10</f>
        <v>370270</v>
      </c>
      <c r="O10" s="11">
        <f>'WP1'!O10+'WP2'!O10+'WP3'!O10+'WP4'!O10+'WP5'!O10+'WP6'!O10+'WP7'!O10+'WP8'!O10</f>
        <v>16720</v>
      </c>
      <c r="P10" s="10">
        <f>'WP1'!P10+'WP2'!P10+'WP3'!P10+'WP4'!P10+'WP5'!P10+'WP6'!P10+'WP7'!P10+'WP8'!P10</f>
        <v>0</v>
      </c>
      <c r="Q10" s="11">
        <f>'WP1'!Q10+'WP2'!Q10+'WP3'!Q10+'WP4'!Q10+'WP5'!Q10+'WP6'!Q10+'WP7'!Q10+'WP8'!Q10</f>
        <v>0</v>
      </c>
      <c r="R10" s="10">
        <f>'WP1'!R10+'WP2'!R10+'WP3'!R10+'WP4'!R10+'WP5'!R10+'WP6'!R10+'WP7'!R10+'WP8'!R10</f>
        <v>658800</v>
      </c>
      <c r="S10" s="11">
        <f>'WP1'!S10+'WP2'!S10+'WP3'!S10+'WP4'!S10+'WP5'!S10+'WP6'!S10+'WP7'!S10+'WP8'!S10</f>
        <v>55479.990000000005</v>
      </c>
      <c r="T10" s="10">
        <f>'WP1'!T10+'WP2'!T10+'WP3'!T10+'WP4'!T10+'WP5'!T10+'WP6'!T10+'WP7'!T10+'WP8'!T10</f>
        <v>348710</v>
      </c>
      <c r="U10" s="11">
        <f>'WP1'!U10+'WP2'!U10+'WP3'!U10+'WP4'!U10+'WP5'!U10+'WP6'!U10+'WP7'!U10+'WP8'!U10</f>
        <v>75366.666666666657</v>
      </c>
      <c r="V10" s="10">
        <f>'WP1'!V10+'WP2'!V10+'WP3'!V10+'WP4'!V10+'WP5'!V10+'WP6'!V10+'WP7'!V10+'WP8'!V10</f>
        <v>60512</v>
      </c>
      <c r="W10" s="11">
        <f>'WP1'!W10+'WP2'!W10+'WP3'!W10+'WP4'!W10+'WP5'!W10+'WP6'!W10+'WP7'!W10+'WP8'!W10</f>
        <v>0</v>
      </c>
      <c r="X10" s="10">
        <f>'WP1'!X10+'WP2'!X10+'WP3'!X10+'WP4'!X10+'WP5'!X10+'WP6'!X10+'WP7'!X10+'WP8'!X10</f>
        <v>0</v>
      </c>
      <c r="Y10" s="11">
        <f>'WP1'!Y10+'WP2'!Y10+'WP3'!Y10+'WP4'!Y10+'WP5'!Y10+'WP6'!Y10+'WP7'!Y10+'WP8'!Y10</f>
        <v>95253.333333333343</v>
      </c>
      <c r="Z10" s="10">
        <f>'WP1'!Z10+'WP2'!Z10+'WP3'!Z10+'WP4'!Z10+'WP5'!Z10+'WP6'!Z10+'WP7'!Z10+'WP8'!Z10</f>
        <v>21750</v>
      </c>
      <c r="AA10" s="11">
        <f>'WP1'!AA10+'WP2'!AA10+'WP3'!AA10+'WP4'!AA10+'WP5'!AA10+'WP6'!AA10+'WP7'!AA10+'WP8'!AA10</f>
        <v>0</v>
      </c>
      <c r="AB10" s="10">
        <f>'WP1'!AB10+'WP2'!AB10+'WP3'!AB10+'WP4'!AB10+'WP5'!AB10+'WP6'!AB10+'WP7'!AB10+'WP8'!AB10</f>
        <v>0</v>
      </c>
      <c r="AC10" s="11">
        <f>'WP1'!AC10+'WP2'!AC10+'WP3'!AC10+'WP4'!AC10+'WP5'!AC10+'WP6'!AC10+'WP7'!AC10+'WP8'!AC10</f>
        <v>33440</v>
      </c>
      <c r="AD10" s="12">
        <f>'WP1'!AD10+'WP2'!AD10+'WP3'!AD10+'WP4'!AD10+'WP5'!AD10+'WP6'!AD10+'WP7'!AD10+'WP8'!AD10</f>
        <v>0</v>
      </c>
      <c r="AE10" s="23">
        <f>'WP1'!AE10+'WP2'!AE10+'WP3'!AE10+'WP4'!AE10+'WP5'!AE10+'WP6'!AE10+'WP7'!AE10+'WP8'!AE10</f>
        <v>85880</v>
      </c>
      <c r="AF10" s="29">
        <f t="shared" si="0"/>
        <v>2082242</v>
      </c>
      <c r="AG10" s="30">
        <f t="shared" si="1"/>
        <v>477279.99</v>
      </c>
      <c r="AH10" s="26">
        <f t="shared" si="2"/>
        <v>2559521.9900000002</v>
      </c>
      <c r="AI10" s="37">
        <f t="shared" si="3"/>
        <v>179166.53930000003</v>
      </c>
      <c r="AJ10" s="40">
        <f t="shared" si="4"/>
        <v>2738688.5293000001</v>
      </c>
      <c r="AL10" t="s">
        <v>192</v>
      </c>
      <c r="AN10" t="s">
        <v>191</v>
      </c>
      <c r="AP10" t="s">
        <v>195</v>
      </c>
      <c r="AR10" t="s">
        <v>199</v>
      </c>
      <c r="AT10" t="s">
        <v>200</v>
      </c>
    </row>
    <row r="11" spans="1:57" x14ac:dyDescent="0.2">
      <c r="A11" s="3" t="s">
        <v>23</v>
      </c>
      <c r="B11" s="10">
        <f>'WP1'!B11+'WP2'!B11+'WP3'!B11+'WP4'!B11+'WP5'!B11+'WP6'!B11+'WP7'!B11+'WP8'!B11</f>
        <v>0</v>
      </c>
      <c r="C11" s="11">
        <f>'WP1'!C11+'WP2'!C11+'WP3'!C11+'WP4'!C11+'WP5'!C11+'WP6'!C11+'WP7'!C11+'WP8'!C11</f>
        <v>0</v>
      </c>
      <c r="D11" s="10">
        <f>'WP1'!D11+'WP2'!D11+'WP3'!D11+'WP4'!D11+'WP5'!D11+'WP6'!D11+'WP7'!D11+'WP8'!D11</f>
        <v>0</v>
      </c>
      <c r="E11" s="11">
        <f>'WP1'!E11+'WP2'!E11+'WP3'!E11+'WP4'!E11+'WP5'!E11+'WP6'!E11+'WP7'!E11+'WP8'!E11</f>
        <v>0</v>
      </c>
      <c r="F11" s="10">
        <f>'WP1'!F11+'WP2'!F11+'WP3'!F11+'WP4'!F11+'WP5'!F11+'WP6'!F11+'WP7'!F11+'WP8'!F11</f>
        <v>0</v>
      </c>
      <c r="G11" s="11">
        <f>'WP1'!G11+'WP2'!G11+'WP3'!G11+'WP4'!G11+'WP5'!G11+'WP6'!G11+'WP7'!G11+'WP8'!G11</f>
        <v>0</v>
      </c>
      <c r="H11" s="10">
        <f>'WP1'!H11+'WP2'!H11+'WP3'!H11+'WP4'!H11+'WP5'!H11+'WP6'!H11+'WP7'!H11+'WP8'!H11</f>
        <v>0</v>
      </c>
      <c r="I11" s="11">
        <f>'WP1'!I11+'WP2'!I11+'WP3'!I11+'WP4'!I11+'WP5'!I11+'WP6'!I11+'WP7'!I11+'WP8'!I11</f>
        <v>12771</v>
      </c>
      <c r="J11" s="10">
        <f>'WP1'!J11+'WP2'!J11+'WP3'!J11+'WP4'!J11+'WP5'!J11+'WP6'!J11+'WP7'!J11+'WP8'!J11</f>
        <v>0</v>
      </c>
      <c r="K11" s="11">
        <f>'WP1'!K11+'WP2'!K11+'WP3'!K11+'WP4'!K11+'WP5'!K11+'WP6'!K11+'WP7'!K11+'WP8'!K11</f>
        <v>38313</v>
      </c>
      <c r="L11" s="10">
        <f>'WP1'!L11+'WP2'!L11+'WP3'!L11+'WP4'!L11+'WP5'!L11+'WP6'!L11+'WP7'!L11+'WP8'!L11</f>
        <v>826940.4</v>
      </c>
      <c r="M11" s="11">
        <f>'WP1'!M11+'WP2'!M11+'WP3'!M11+'WP4'!M11+'WP5'!M11+'WP6'!M11+'WP7'!M11+'WP8'!M11</f>
        <v>51084</v>
      </c>
      <c r="N11" s="10">
        <f>'WP1'!N11+'WP2'!N11+'WP3'!N11+'WP4'!N11+'WP5'!N11+'WP6'!N11+'WP7'!N11+'WP8'!N11</f>
        <v>122000</v>
      </c>
      <c r="O11" s="11">
        <f>'WP1'!O11+'WP2'!O11+'WP3'!O11+'WP4'!O11+'WP5'!O11+'WP6'!O11+'WP7'!O11+'WP8'!O11</f>
        <v>0</v>
      </c>
      <c r="P11" s="10">
        <f>'WP1'!P11+'WP2'!P11+'WP3'!P11+'WP4'!P11+'WP5'!P11+'WP6'!P11+'WP7'!P11+'WP8'!P11</f>
        <v>0</v>
      </c>
      <c r="Q11" s="11">
        <f>'WP1'!Q11+'WP2'!Q11+'WP3'!Q11+'WP4'!Q11+'WP5'!Q11+'WP6'!Q11+'WP7'!Q11+'WP8'!Q11</f>
        <v>25542</v>
      </c>
      <c r="R11" s="10">
        <f>'WP1'!R11+'WP2'!R11+'WP3'!R11+'WP4'!R11+'WP5'!R11+'WP6'!R11+'WP7'!R11+'WP8'!R11</f>
        <v>2318000</v>
      </c>
      <c r="S11" s="11">
        <f>'WP1'!S11+'WP2'!S11+'WP3'!S11+'WP4'!S11+'WP5'!S11+'WP6'!S11+'WP7'!S11+'WP8'!S11</f>
        <v>136224</v>
      </c>
      <c r="T11" s="10">
        <f>'WP1'!T11+'WP2'!T11+'WP3'!T11+'WP4'!T11+'WP5'!T11+'WP6'!T11+'WP7'!T11+'WP8'!T11</f>
        <v>172000</v>
      </c>
      <c r="U11" s="11">
        <f>'WP1'!U11+'WP2'!U11+'WP3'!U11+'WP4'!U11+'WP5'!U11+'WP6'!U11+'WP7'!U11+'WP8'!U11</f>
        <v>8514</v>
      </c>
      <c r="V11" s="10">
        <f>'WP1'!V11+'WP2'!V11+'WP3'!V11+'WP4'!V11+'WP5'!V11+'WP6'!V11+'WP7'!V11+'WP8'!V11</f>
        <v>0</v>
      </c>
      <c r="W11" s="11">
        <f>'WP1'!W11+'WP2'!W11+'WP3'!W11+'WP4'!W11+'WP5'!W11+'WP6'!W11+'WP7'!W11+'WP8'!W11</f>
        <v>0</v>
      </c>
      <c r="X11" s="10">
        <f>'WP1'!X11+'WP2'!X11+'WP3'!X11+'WP4'!X11+'WP5'!X11+'WP6'!X11+'WP7'!X11+'WP8'!X11</f>
        <v>0</v>
      </c>
      <c r="Y11" s="11">
        <f>'WP1'!Y11+'WP2'!Y11+'WP3'!Y11+'WP4'!Y11+'WP5'!Y11+'WP6'!Y11+'WP7'!Y11+'WP8'!Y11</f>
        <v>102168</v>
      </c>
      <c r="Z11" s="10">
        <f>'WP1'!Z11+'WP2'!Z11+'WP3'!Z11+'WP4'!Z11+'WP5'!Z11+'WP6'!Z11+'WP7'!Z11+'WP8'!Z11</f>
        <v>50000</v>
      </c>
      <c r="AA11" s="11">
        <f>'WP1'!AA11+'WP2'!AA11+'WP3'!AA11+'WP4'!AA11+'WP5'!AA11+'WP6'!AA11+'WP7'!AA11+'WP8'!AA11</f>
        <v>25542</v>
      </c>
      <c r="AB11" s="10">
        <f>'WP1'!AB11+'WP2'!AB11+'WP3'!AB11+'WP4'!AB11+'WP5'!AB11+'WP6'!AB11+'WP7'!AB11+'WP8'!AB11</f>
        <v>582940.4</v>
      </c>
      <c r="AC11" s="11">
        <f>'WP1'!AC11+'WP2'!AC11+'WP3'!AC11+'WP4'!AC11+'WP5'!AC11+'WP6'!AC11+'WP7'!AC11+'WP8'!AC11</f>
        <v>85140</v>
      </c>
      <c r="AD11" s="12">
        <f>'WP1'!AD11+'WP2'!AD11+'WP3'!AD11+'WP4'!AD11+'WP5'!AD11+'WP6'!AD11+'WP7'!AD11+'WP8'!AD11</f>
        <v>291470.2</v>
      </c>
      <c r="AE11" s="23">
        <f>'WP1'!AE11+'WP2'!AE11+'WP3'!AE11+'WP4'!AE11+'WP5'!AE11+'WP6'!AE11+'WP7'!AE11+'WP8'!AE11</f>
        <v>102168</v>
      </c>
      <c r="AF11" s="29">
        <f t="shared" si="0"/>
        <v>4363351</v>
      </c>
      <c r="AG11" s="30">
        <f>C11+E11+G11+I11+K11+M11+O11+Q11+S11+U11+W11+Y11+AA11+AC11+AE11</f>
        <v>587466</v>
      </c>
      <c r="AH11" s="26">
        <f t="shared" si="2"/>
        <v>4950817</v>
      </c>
      <c r="AI11" s="37">
        <f t="shared" si="3"/>
        <v>346557.19000000006</v>
      </c>
      <c r="AJ11" s="40">
        <f t="shared" si="4"/>
        <v>5297374.1900000004</v>
      </c>
      <c r="AL11" t="s">
        <v>205</v>
      </c>
      <c r="AN11" t="s">
        <v>207</v>
      </c>
      <c r="AP11" t="s">
        <v>210</v>
      </c>
      <c r="AS11" t="s">
        <v>192</v>
      </c>
      <c r="AU11" t="s">
        <v>212</v>
      </c>
      <c r="AX11" t="s">
        <v>191</v>
      </c>
    </row>
    <row r="12" spans="1:57" x14ac:dyDescent="0.2">
      <c r="A12" s="3" t="s">
        <v>24</v>
      </c>
      <c r="B12" s="10">
        <f>'WP1'!B12+'WP2'!B12+'WP3'!B12+'WP4'!B12+'WP5'!B12+'WP6'!B12+'WP7'!B12+'WP8'!B12</f>
        <v>0</v>
      </c>
      <c r="C12" s="11">
        <f>'WP1'!C12+'WP2'!C12+'WP3'!C12+'WP4'!C12+'WP5'!C12+'WP6'!C12+'WP7'!C12+'WP8'!C12</f>
        <v>0</v>
      </c>
      <c r="D12" s="10">
        <f>'WP1'!D12+'WP2'!D12+'WP3'!D12+'WP4'!D12+'WP5'!D12+'WP6'!D12+'WP7'!D12+'WP8'!D12</f>
        <v>0</v>
      </c>
      <c r="E12" s="11">
        <f>'WP1'!E12+'WP2'!E12+'WP3'!E12+'WP4'!E12+'WP5'!E12+'WP6'!E12+'WP7'!E12+'WP8'!E12</f>
        <v>0</v>
      </c>
      <c r="F12" s="10">
        <f>'WP1'!F12+'WP2'!F12+'WP3'!F12+'WP4'!F12+'WP5'!F12+'WP6'!F12+'WP7'!F12+'WP8'!F12</f>
        <v>151533.51999999999</v>
      </c>
      <c r="G12" s="11">
        <f>'WP1'!G12+'WP2'!G12+'WP3'!G12+'WP4'!G12+'WP5'!G12+'WP6'!G12+'WP7'!G12+'WP8'!G12</f>
        <v>0</v>
      </c>
      <c r="H12" s="10">
        <f>'WP1'!H12+'WP2'!H12+'WP3'!H12+'WP4'!H12+'WP5'!H12+'WP6'!H12+'WP7'!H12+'WP8'!H12</f>
        <v>0</v>
      </c>
      <c r="I12" s="11">
        <f>'WP1'!I12+'WP2'!I12+'WP3'!I12+'WP4'!I12+'WP5'!I12+'WP6'!I12+'WP7'!I12+'WP8'!I12</f>
        <v>7750</v>
      </c>
      <c r="J12" s="10">
        <f>'WP1'!J12+'WP2'!J12+'WP3'!J12+'WP4'!J12+'WP5'!J12+'WP6'!J12+'WP7'!J12+'WP8'!J12</f>
        <v>0</v>
      </c>
      <c r="K12" s="11">
        <f>'WP1'!K12+'WP2'!K12+'WP3'!K12+'WP4'!K12+'WP5'!K12+'WP6'!K12+'WP7'!K12+'WP8'!K12</f>
        <v>15500</v>
      </c>
      <c r="L12" s="10">
        <f>'WP1'!L12+'WP2'!L12+'WP3'!L12+'WP4'!L12+'WP5'!L12+'WP6'!L12+'WP7'!L12+'WP8'!L12</f>
        <v>1545008</v>
      </c>
      <c r="M12" s="11">
        <f>'WP1'!M12+'WP2'!M12+'WP3'!M12+'WP4'!M12+'WP5'!M12+'WP6'!M12+'WP7'!M12+'WP8'!M12</f>
        <v>46500</v>
      </c>
      <c r="N12" s="10">
        <f>'WP1'!N12+'WP2'!N12+'WP3'!N12+'WP4'!N12+'WP5'!N12+'WP6'!N12+'WP7'!N12+'WP8'!N12</f>
        <v>15000</v>
      </c>
      <c r="O12" s="11">
        <f>'WP1'!O12+'WP2'!O12+'WP3'!O12+'WP4'!O12+'WP5'!O12+'WP6'!O12+'WP7'!O12+'WP8'!O12</f>
        <v>7750</v>
      </c>
      <c r="P12" s="10">
        <f>'WP1'!P12+'WP2'!P12+'WP3'!P12+'WP4'!P12+'WP5'!P12+'WP6'!P12+'WP7'!P12+'WP8'!P12</f>
        <v>0</v>
      </c>
      <c r="Q12" s="11">
        <f>'WP1'!Q12+'WP2'!Q12+'WP3'!Q12+'WP4'!Q12+'WP5'!Q12+'WP6'!Q12+'WP7'!Q12+'WP8'!Q12</f>
        <v>0</v>
      </c>
      <c r="R12" s="10">
        <f>'WP1'!R12+'WP2'!R12+'WP3'!R12+'WP4'!R12+'WP5'!R12+'WP6'!R12+'WP7'!R12+'WP8'!R12</f>
        <v>0</v>
      </c>
      <c r="S12" s="11">
        <f>'WP1'!S12+'WP2'!S12+'WP3'!S12+'WP4'!S12+'WP5'!S12+'WP6'!S12+'WP7'!S12+'WP8'!S12</f>
        <v>15500</v>
      </c>
      <c r="T12" s="10">
        <f>'WP1'!T12+'WP2'!T12+'WP3'!T12+'WP4'!T12+'WP5'!T12+'WP6'!T12+'WP7'!T12+'WP8'!T12</f>
        <v>7320</v>
      </c>
      <c r="U12" s="11">
        <f>'WP1'!U12+'WP2'!U12+'WP3'!U12+'WP4'!U12+'WP5'!U12+'WP6'!U12+'WP7'!U12+'WP8'!U12</f>
        <v>0</v>
      </c>
      <c r="V12" s="10">
        <f>'WP1'!V12+'WP2'!V12+'WP3'!V12+'WP4'!V12+'WP5'!V12+'WP6'!V12+'WP7'!V12+'WP8'!V12</f>
        <v>0</v>
      </c>
      <c r="W12" s="11">
        <f>'WP1'!W12+'WP2'!W12+'WP3'!W12+'WP4'!W12+'WP5'!W12+'WP6'!W12+'WP7'!W12+'WP8'!W12</f>
        <v>62000</v>
      </c>
      <c r="X12" s="10">
        <f>'WP1'!X12+'WP2'!X12+'WP3'!X12+'WP4'!X12+'WP5'!X12+'WP6'!X12+'WP7'!X12+'WP8'!X12</f>
        <v>208010</v>
      </c>
      <c r="Y12" s="11">
        <f>'WP1'!Y12+'WP2'!Y12+'WP3'!Y12+'WP4'!Y12+'WP5'!Y12+'WP6'!Y12+'WP7'!Y12+'WP8'!Y12</f>
        <v>54250</v>
      </c>
      <c r="Z12" s="10">
        <f>'WP1'!Z12+'WP2'!Z12+'WP3'!Z12+'WP4'!Z12+'WP5'!Z12+'WP6'!Z12+'WP7'!Z12+'WP8'!Z12</f>
        <v>0</v>
      </c>
      <c r="AA12" s="11">
        <f>'WP1'!AA12+'WP2'!AA12+'WP3'!AA12+'WP4'!AA12+'WP5'!AA12+'WP6'!AA12+'WP7'!AA12+'WP8'!AA12</f>
        <v>0</v>
      </c>
      <c r="AB12" s="10">
        <f>'WP1'!AB12+'WP2'!AB12+'WP3'!AB12+'WP4'!AB12+'WP5'!AB12+'WP6'!AB12+'WP7'!AB12+'WP8'!AB12</f>
        <v>1545008</v>
      </c>
      <c r="AC12" s="11">
        <f>'WP1'!AC12+'WP2'!AC12+'WP3'!AC12+'WP4'!AC12+'WP5'!AC12+'WP6'!AC12+'WP7'!AC12+'WP8'!AC12</f>
        <v>15500</v>
      </c>
      <c r="AD12" s="12">
        <f>'WP1'!AD12+'WP2'!AD12+'WP3'!AD12+'WP4'!AD12+'WP5'!AD12+'WP6'!AD12+'WP7'!AD12+'WP8'!AD12</f>
        <v>779824</v>
      </c>
      <c r="AE12" s="23">
        <f>'WP1'!AE12+'WP2'!AE12+'WP3'!AE12+'WP4'!AE12+'WP5'!AE12+'WP6'!AE12+'WP7'!AE12+'WP8'!AE12</f>
        <v>54250</v>
      </c>
      <c r="AF12" s="29">
        <f t="shared" si="0"/>
        <v>4251703.5199999996</v>
      </c>
      <c r="AG12" s="30">
        <f t="shared" si="1"/>
        <v>279000</v>
      </c>
      <c r="AH12" s="26">
        <f t="shared" si="2"/>
        <v>4530703.5199999996</v>
      </c>
      <c r="AI12" s="37">
        <f t="shared" si="3"/>
        <v>317149.2464</v>
      </c>
      <c r="AJ12" s="40">
        <f t="shared" si="4"/>
        <v>4847852.7663999991</v>
      </c>
      <c r="AL12" t="s">
        <v>210</v>
      </c>
      <c r="AN12" t="s">
        <v>142</v>
      </c>
      <c r="AP12" t="s">
        <v>130</v>
      </c>
    </row>
    <row r="13" spans="1:57" ht="17" thickBot="1" x14ac:dyDescent="0.25">
      <c r="A13" s="4" t="s">
        <v>25</v>
      </c>
      <c r="B13" s="14">
        <f>'WP1'!B13+'WP2'!B13+'WP3'!B13+'WP4'!B13+'WP5'!B13+'WP6'!B13+'WP7'!B13+'WP8'!B13</f>
        <v>0</v>
      </c>
      <c r="C13" s="15">
        <f>'WP1'!C13+'WP2'!C13+'WP3'!C13+'WP4'!C13+'WP5'!C13+'WP6'!C13+'WP7'!C13+'WP8'!C13</f>
        <v>0</v>
      </c>
      <c r="D13" s="14">
        <f>'WP1'!D13+'WP2'!D13+'WP3'!D13+'WP4'!D13+'WP5'!D13+'WP6'!D13+'WP7'!D13+'WP8'!D13</f>
        <v>0</v>
      </c>
      <c r="E13" s="15">
        <f>'WP1'!E13+'WP2'!E13+'WP3'!E13+'WP4'!E13+'WP5'!E13+'WP6'!E13+'WP7'!E13+'WP8'!E13</f>
        <v>0</v>
      </c>
      <c r="F13" s="14">
        <f>'WP1'!F13+'WP2'!F13+'WP3'!F13+'WP4'!F13+'WP5'!F13+'WP6'!F13+'WP7'!F13+'WP8'!F13</f>
        <v>98980</v>
      </c>
      <c r="G13" s="15">
        <f>'WP1'!G13+'WP2'!G13+'WP3'!G13+'WP4'!G13+'WP5'!G13+'WP6'!G13+'WP7'!G13+'WP8'!G13</f>
        <v>0</v>
      </c>
      <c r="H13" s="14">
        <f>'WP1'!H13+'WP2'!H13+'WP3'!H13+'WP4'!H13+'WP5'!H13+'WP6'!H13+'WP7'!H13+'WP8'!H13</f>
        <v>0</v>
      </c>
      <c r="I13" s="15">
        <f>'WP1'!I13+'WP2'!I13+'WP3'!I13+'WP4'!I13+'WP5'!I13+'WP6'!I13+'WP7'!I13+'WP8'!I13</f>
        <v>0</v>
      </c>
      <c r="J13" s="14">
        <f>'WP1'!J13+'WP2'!J13+'WP3'!J13+'WP4'!J13+'WP5'!J13+'WP6'!J13+'WP7'!J13+'WP8'!J13</f>
        <v>67100</v>
      </c>
      <c r="K13" s="15">
        <f>'WP1'!K13+'WP2'!K13+'WP3'!K13+'WP4'!K13+'WP5'!K13+'WP6'!K13+'WP7'!K13+'WP8'!K13</f>
        <v>9300</v>
      </c>
      <c r="L13" s="14">
        <f>'WP1'!L13+'WP2'!L13+'WP3'!L13+'WP4'!L13+'WP5'!L13+'WP6'!L13+'WP7'!L13+'WP8'!L13</f>
        <v>107360</v>
      </c>
      <c r="M13" s="15">
        <f>'WP1'!M13+'WP2'!M13+'WP3'!M13+'WP4'!M13+'WP5'!M13+'WP6'!M13+'WP7'!M13+'WP8'!M13</f>
        <v>46500</v>
      </c>
      <c r="N13" s="14">
        <f>'WP1'!N13+'WP2'!N13+'WP3'!N13+'WP4'!N13+'WP5'!N13+'WP6'!N13+'WP7'!N13+'WP8'!N13</f>
        <v>173600</v>
      </c>
      <c r="O13" s="15">
        <f>'WP1'!O13+'WP2'!O13+'WP3'!O13+'WP4'!O13+'WP5'!O13+'WP6'!O13+'WP7'!O13+'WP8'!O13</f>
        <v>0</v>
      </c>
      <c r="P13" s="14">
        <f>'WP1'!P13+'WP2'!P13+'WP3'!P13+'WP4'!P13+'WP5'!P13+'WP6'!P13+'WP7'!P13+'WP8'!P13</f>
        <v>67100</v>
      </c>
      <c r="Q13" s="15">
        <f>'WP1'!Q13+'WP2'!Q13+'WP3'!Q13+'WP4'!Q13+'WP5'!Q13+'WP6'!Q13+'WP7'!Q13+'WP8'!Q13</f>
        <v>0</v>
      </c>
      <c r="R13" s="14">
        <f>'WP1'!R13+'WP2'!R13+'WP3'!R13+'WP4'!R13+'WP5'!R13+'WP6'!R13+'WP7'!R13+'WP8'!R13</f>
        <v>0</v>
      </c>
      <c r="S13" s="15">
        <f>'WP1'!S13+'WP2'!S13+'WP3'!S13+'WP4'!S13+'WP5'!S13+'WP6'!S13+'WP7'!S13+'WP8'!S13</f>
        <v>55800</v>
      </c>
      <c r="T13" s="14">
        <f>'WP1'!T13+'WP2'!T13+'WP3'!T13+'WP4'!T13+'WP5'!T13+'WP6'!T13+'WP7'!T13+'WP8'!T13</f>
        <v>73200</v>
      </c>
      <c r="U13" s="15">
        <f>'WP1'!U13+'WP2'!U13+'WP3'!U13+'WP4'!U13+'WP5'!U13+'WP6'!U13+'WP7'!U13+'WP8'!U13</f>
        <v>0</v>
      </c>
      <c r="V13" s="14">
        <f>'WP1'!V13+'WP2'!V13+'WP3'!V13+'WP4'!V13+'WP5'!V13+'WP6'!V13+'WP7'!V13+'WP8'!V13</f>
        <v>122000</v>
      </c>
      <c r="W13" s="15">
        <f>'WP1'!W13+'WP2'!W13+'WP3'!W13+'WP4'!W13+'WP5'!W13+'WP6'!W13+'WP7'!W13+'WP8'!W13</f>
        <v>38750</v>
      </c>
      <c r="X13" s="14">
        <f>'WP1'!X13+'WP2'!X13+'WP3'!X13+'WP4'!X13+'WP5'!X13+'WP6'!X13+'WP7'!X13+'WP8'!X13</f>
        <v>68200</v>
      </c>
      <c r="Y13" s="15">
        <f>'WP1'!Y13+'WP2'!Y13+'WP3'!Y13+'WP4'!Y13+'WP5'!Y13+'WP6'!Y13+'WP7'!Y13+'WP8'!Y13</f>
        <v>31000</v>
      </c>
      <c r="Z13" s="14">
        <f>'WP1'!Z13+'WP2'!Z13+'WP3'!Z13+'WP4'!Z13+'WP5'!Z13+'WP6'!Z13+'WP7'!Z13+'WP8'!Z13</f>
        <v>0</v>
      </c>
      <c r="AA13" s="15">
        <f>'WP1'!AA13+'WP2'!AA13+'WP3'!AA13+'WP4'!AA13+'WP5'!AA13+'WP6'!AA13+'WP7'!AA13+'WP8'!AA13</f>
        <v>0</v>
      </c>
      <c r="AB13" s="14">
        <f>'WP1'!AB13+'WP2'!AB13+'WP3'!AB13+'WP4'!AB13+'WP5'!AB13+'WP6'!AB13+'WP7'!AB13+'WP8'!AB13</f>
        <v>107360</v>
      </c>
      <c r="AC13" s="15">
        <f>'WP1'!AC13+'WP2'!AC13+'WP3'!AC13+'WP4'!AC13+'WP5'!AC13+'WP6'!AC13+'WP7'!AC13+'WP8'!AC13</f>
        <v>37200</v>
      </c>
      <c r="AD13" s="16">
        <f>'WP1'!AD13+'WP2'!AD13+'WP3'!AD13+'WP4'!AD13+'WP5'!AD13+'WP6'!AD13+'WP7'!AD13+'WP8'!AD13</f>
        <v>53680</v>
      </c>
      <c r="AE13" s="24">
        <f>'WP1'!AE13+'WP2'!AE13+'WP3'!AE13+'WP4'!AE13+'WP5'!AE13+'WP6'!AE13+'WP7'!AE13+'WP8'!AE13</f>
        <v>60450</v>
      </c>
      <c r="AF13" s="34">
        <f t="shared" si="0"/>
        <v>938580</v>
      </c>
      <c r="AG13" s="35">
        <f t="shared" si="1"/>
        <v>279000</v>
      </c>
      <c r="AH13" s="36">
        <f t="shared" si="2"/>
        <v>1217580</v>
      </c>
      <c r="AI13" s="38">
        <f t="shared" si="3"/>
        <v>85230.6</v>
      </c>
      <c r="AJ13" s="41">
        <f t="shared" si="4"/>
        <v>1302810.6000000001</v>
      </c>
      <c r="AL13" t="s">
        <v>210</v>
      </c>
      <c r="AN13" t="s">
        <v>229</v>
      </c>
      <c r="AP13" t="s">
        <v>142</v>
      </c>
    </row>
    <row r="14" spans="1:57" ht="17" thickBot="1" x14ac:dyDescent="0.25">
      <c r="A14" s="5" t="s">
        <v>26</v>
      </c>
      <c r="B14" s="18">
        <f>SUM(B3:B13)</f>
        <v>0</v>
      </c>
      <c r="C14" s="19">
        <f t="shared" ref="C14:AE14" si="5">SUM(C3:C13)</f>
        <v>0</v>
      </c>
      <c r="D14" s="18">
        <f t="shared" si="5"/>
        <v>0</v>
      </c>
      <c r="E14" s="19">
        <f t="shared" si="5"/>
        <v>0</v>
      </c>
      <c r="F14" s="18">
        <f t="shared" si="5"/>
        <v>250513.52</v>
      </c>
      <c r="G14" s="19">
        <f t="shared" si="5"/>
        <v>0</v>
      </c>
      <c r="H14" s="18">
        <f t="shared" si="5"/>
        <v>0</v>
      </c>
      <c r="I14" s="19">
        <f t="shared" si="5"/>
        <v>79267.666666666657</v>
      </c>
      <c r="J14" s="18">
        <f t="shared" si="5"/>
        <v>170800</v>
      </c>
      <c r="K14" s="19">
        <f t="shared" si="5"/>
        <v>88193</v>
      </c>
      <c r="L14" s="18">
        <f t="shared" si="5"/>
        <v>8982840.6400000006</v>
      </c>
      <c r="M14" s="19">
        <f t="shared" si="5"/>
        <v>533204</v>
      </c>
      <c r="N14" s="18">
        <f t="shared" si="5"/>
        <v>878870</v>
      </c>
      <c r="O14" s="19">
        <f t="shared" si="5"/>
        <v>142686</v>
      </c>
      <c r="P14" s="18">
        <f t="shared" si="5"/>
        <v>67100</v>
      </c>
      <c r="Q14" s="19">
        <f t="shared" si="5"/>
        <v>75702</v>
      </c>
      <c r="R14" s="18">
        <f t="shared" si="5"/>
        <v>4451828.8</v>
      </c>
      <c r="S14" s="19">
        <f t="shared" si="5"/>
        <v>664473.99</v>
      </c>
      <c r="T14" s="18">
        <f t="shared" si="5"/>
        <v>1533469.3</v>
      </c>
      <c r="U14" s="19">
        <f t="shared" si="5"/>
        <v>299490.66666666663</v>
      </c>
      <c r="V14" s="18">
        <f t="shared" si="5"/>
        <v>321311.40000000002</v>
      </c>
      <c r="W14" s="19">
        <f t="shared" si="5"/>
        <v>201070</v>
      </c>
      <c r="X14" s="18">
        <f t="shared" si="5"/>
        <v>569491.4</v>
      </c>
      <c r="Y14" s="19">
        <f t="shared" si="5"/>
        <v>744751.33333333337</v>
      </c>
      <c r="Z14" s="18">
        <f t="shared" si="5"/>
        <v>199710.7</v>
      </c>
      <c r="AA14" s="19">
        <f t="shared" si="5"/>
        <v>122022</v>
      </c>
      <c r="AB14" s="18">
        <f t="shared" si="5"/>
        <v>6629411.8399999999</v>
      </c>
      <c r="AC14" s="19">
        <f t="shared" si="5"/>
        <v>541741.33333333326</v>
      </c>
      <c r="AD14" s="20">
        <f t="shared" si="5"/>
        <v>3428647.3200000003</v>
      </c>
      <c r="AE14" s="25">
        <f t="shared" si="5"/>
        <v>799104</v>
      </c>
      <c r="AF14" s="31">
        <f t="shared" si="0"/>
        <v>27483994.920000002</v>
      </c>
      <c r="AG14" s="32">
        <f t="shared" si="1"/>
        <v>4291705.99</v>
      </c>
      <c r="AH14" s="33">
        <f t="shared" si="2"/>
        <v>31775700.910000004</v>
      </c>
      <c r="AI14" s="39">
        <f t="shared" si="3"/>
        <v>2224299.0637000003</v>
      </c>
      <c r="AJ14" s="42">
        <f t="shared" si="4"/>
        <v>33999999.973700002</v>
      </c>
    </row>
    <row r="15" spans="1:57" ht="17" thickBot="1" x14ac:dyDescent="0.25">
      <c r="A15" s="6" t="s">
        <v>29</v>
      </c>
      <c r="B15" s="123">
        <f>B14+C14</f>
        <v>0</v>
      </c>
      <c r="C15" s="124"/>
      <c r="D15" s="123">
        <f>D14+E14</f>
        <v>0</v>
      </c>
      <c r="E15" s="124"/>
      <c r="F15" s="123">
        <f>F14+G14</f>
        <v>250513.52</v>
      </c>
      <c r="G15" s="124"/>
      <c r="H15" s="123">
        <f>H14+I14</f>
        <v>79267.666666666657</v>
      </c>
      <c r="I15" s="124"/>
      <c r="J15" s="123">
        <f>J14+K14</f>
        <v>258993</v>
      </c>
      <c r="K15" s="124"/>
      <c r="L15" s="123">
        <f>L14+M14</f>
        <v>9516044.6400000006</v>
      </c>
      <c r="M15" s="124"/>
      <c r="N15" s="123">
        <f>N14+O14</f>
        <v>1021556</v>
      </c>
      <c r="O15" s="124"/>
      <c r="P15" s="123">
        <f>P14+Q14</f>
        <v>142802</v>
      </c>
      <c r="Q15" s="124"/>
      <c r="R15" s="123">
        <f>R14+S14</f>
        <v>5116302.79</v>
      </c>
      <c r="S15" s="124"/>
      <c r="T15" s="123">
        <f>T14+U14</f>
        <v>1832959.9666666668</v>
      </c>
      <c r="U15" s="124"/>
      <c r="V15" s="123">
        <f>V14+W14</f>
        <v>522381.4</v>
      </c>
      <c r="W15" s="124"/>
      <c r="X15" s="123">
        <f>X14+Y14</f>
        <v>1314242.7333333334</v>
      </c>
      <c r="Y15" s="124"/>
      <c r="Z15" s="123">
        <f>Z14+AA14</f>
        <v>321732.7</v>
      </c>
      <c r="AA15" s="124"/>
      <c r="AB15" s="123">
        <f>AB14+AC14</f>
        <v>7171153.1733333329</v>
      </c>
      <c r="AC15" s="124"/>
      <c r="AD15" s="134">
        <f>AD14+AE14</f>
        <v>4227751.32</v>
      </c>
      <c r="AE15" s="134"/>
      <c r="AF15" s="144">
        <f>AF14+AG14</f>
        <v>31775700.910000004</v>
      </c>
      <c r="AG15" s="145"/>
      <c r="AH15" s="144">
        <f>AH14+AI14</f>
        <v>33999999.973700002</v>
      </c>
      <c r="AI15" s="145"/>
      <c r="AJ15" s="99">
        <f>AJ14</f>
        <v>33999999.973700002</v>
      </c>
    </row>
    <row r="16" spans="1:57" ht="17" thickBot="1" x14ac:dyDescent="0.25">
      <c r="A16" s="6" t="s">
        <v>254</v>
      </c>
      <c r="B16" s="123">
        <f>1.07*B15</f>
        <v>0</v>
      </c>
      <c r="C16" s="124"/>
      <c r="D16" s="123">
        <f t="shared" ref="D16" si="6">1.07*D15</f>
        <v>0</v>
      </c>
      <c r="E16" s="124"/>
      <c r="F16" s="123">
        <f t="shared" ref="F16" si="7">1.07*F15</f>
        <v>268049.46639999998</v>
      </c>
      <c r="G16" s="124"/>
      <c r="H16" s="123">
        <f t="shared" ref="H16" si="8">1.07*H15</f>
        <v>84816.403333333321</v>
      </c>
      <c r="I16" s="124"/>
      <c r="J16" s="123">
        <f t="shared" ref="J16" si="9">1.07*J15</f>
        <v>277122.51</v>
      </c>
      <c r="K16" s="124"/>
      <c r="L16" s="123">
        <f t="shared" ref="L16" si="10">1.07*L15</f>
        <v>10182167.764800001</v>
      </c>
      <c r="M16" s="124"/>
      <c r="N16" s="123">
        <f t="shared" ref="N16" si="11">1.07*N15</f>
        <v>1093064.9200000002</v>
      </c>
      <c r="O16" s="124"/>
      <c r="P16" s="123">
        <f t="shared" ref="P16" si="12">1.07*P15</f>
        <v>152798.14000000001</v>
      </c>
      <c r="Q16" s="124"/>
      <c r="R16" s="123">
        <f t="shared" ref="R16" si="13">1.07*R15</f>
        <v>5474443.9853000008</v>
      </c>
      <c r="S16" s="124"/>
      <c r="T16" s="123">
        <f t="shared" ref="T16" si="14">1.07*T15</f>
        <v>1961267.1643333335</v>
      </c>
      <c r="U16" s="124"/>
      <c r="V16" s="123">
        <f t="shared" ref="V16" si="15">1.07*V15</f>
        <v>558948.09800000011</v>
      </c>
      <c r="W16" s="124"/>
      <c r="X16" s="123">
        <f t="shared" ref="X16" si="16">1.07*X15</f>
        <v>1406239.7246666667</v>
      </c>
      <c r="Y16" s="124"/>
      <c r="Z16" s="123">
        <f t="shared" ref="Z16" si="17">1.07*Z15</f>
        <v>344253.98900000006</v>
      </c>
      <c r="AA16" s="124"/>
      <c r="AB16" s="123">
        <f t="shared" ref="AB16" si="18">1.07*AB15</f>
        <v>7673133.8954666667</v>
      </c>
      <c r="AC16" s="124"/>
      <c r="AD16" s="123">
        <f t="shared" ref="AD16" si="19">1.07*AD15</f>
        <v>4523693.9124000007</v>
      </c>
      <c r="AE16" s="118"/>
      <c r="AF16" s="117">
        <f t="shared" ref="AF16" si="20">1.07*AF15</f>
        <v>33999999.973700009</v>
      </c>
      <c r="AG16" s="118"/>
      <c r="AH16" s="117"/>
      <c r="AI16" s="134"/>
      <c r="AJ16" s="99"/>
    </row>
  </sheetData>
  <sheetProtection algorithmName="SHA-512" hashValue="nV3WFHJNLg/WuH5nP14H2iCiR9k5p/FegYCLRvVaM9OfyxgoWw3mn8h8jKh5UcylVpyJYEq8ZWJpK1/jLY7AvQ==" saltValue="UqSSqkldi2M74bpxFyD5Bw==" spinCount="100000" sheet="1" objects="1" scenarios="1"/>
  <mergeCells count="53">
    <mergeCell ref="B1:C1"/>
    <mergeCell ref="D1:E1"/>
    <mergeCell ref="F1:G1"/>
    <mergeCell ref="H1:I1"/>
    <mergeCell ref="J1:K1"/>
    <mergeCell ref="L15:M15"/>
    <mergeCell ref="N15:O15"/>
    <mergeCell ref="N1:O1"/>
    <mergeCell ref="P1:Q1"/>
    <mergeCell ref="R1:S1"/>
    <mergeCell ref="L1:M1"/>
    <mergeCell ref="P15:Q15"/>
    <mergeCell ref="R15:S15"/>
    <mergeCell ref="B15:C15"/>
    <mergeCell ref="D15:E15"/>
    <mergeCell ref="F15:G15"/>
    <mergeCell ref="H15:I15"/>
    <mergeCell ref="J15:K15"/>
    <mergeCell ref="Z15:AA15"/>
    <mergeCell ref="Z1:AA1"/>
    <mergeCell ref="AB1:AC1"/>
    <mergeCell ref="AD1:AE1"/>
    <mergeCell ref="T1:U1"/>
    <mergeCell ref="V1:W1"/>
    <mergeCell ref="X1:Y1"/>
    <mergeCell ref="AB15:AC15"/>
    <mergeCell ref="T15:U15"/>
    <mergeCell ref="V15:W15"/>
    <mergeCell ref="X15:Y15"/>
    <mergeCell ref="AD15:AE15"/>
    <mergeCell ref="AF1:AG1"/>
    <mergeCell ref="AH1:AH2"/>
    <mergeCell ref="AI1:AI2"/>
    <mergeCell ref="AJ1:AJ2"/>
    <mergeCell ref="AF15:AG15"/>
    <mergeCell ref="AH15:AI15"/>
    <mergeCell ref="B16:C16"/>
    <mergeCell ref="D16:E16"/>
    <mergeCell ref="F16:G16"/>
    <mergeCell ref="H16:I16"/>
    <mergeCell ref="J16:K16"/>
    <mergeCell ref="L16:M16"/>
    <mergeCell ref="N16:O16"/>
    <mergeCell ref="P16:Q16"/>
    <mergeCell ref="R16:S16"/>
    <mergeCell ref="T16:U16"/>
    <mergeCell ref="AF16:AG16"/>
    <mergeCell ref="AH16:AI16"/>
    <mergeCell ref="V16:W16"/>
    <mergeCell ref="X16:Y16"/>
    <mergeCell ref="Z16:AA16"/>
    <mergeCell ref="AB16:AC16"/>
    <mergeCell ref="AD16:A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WP1</vt:lpstr>
      <vt:lpstr>WP2</vt:lpstr>
      <vt:lpstr>WP3</vt:lpstr>
      <vt:lpstr>WP4</vt:lpstr>
      <vt:lpstr>WP5</vt:lpstr>
      <vt:lpstr>WP6</vt:lpstr>
      <vt:lpstr>WP7</vt:lpstr>
      <vt:lpstr>WP8</vt:lpstr>
      <vt:lpstr>All WPs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Africh</dc:creator>
  <cp:lastModifiedBy>Cristina Africh</cp:lastModifiedBy>
  <dcterms:created xsi:type="dcterms:W3CDTF">2022-02-24T18:41:21Z</dcterms:created>
  <dcterms:modified xsi:type="dcterms:W3CDTF">2022-11-11T14:29:22Z</dcterms:modified>
</cp:coreProperties>
</file>