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isa_000\Downloads\"/>
    </mc:Choice>
  </mc:AlternateContent>
  <bookViews>
    <workbookView xWindow="180" yWindow="504" windowWidth="25596" windowHeight="17040"/>
  </bookViews>
  <sheets>
    <sheet name="Activities" sheetId="1" r:id="rId1"/>
    <sheet name="Share" sheetId="2" r:id="rId2"/>
    <sheet name="Costo per UO rimod" sheetId="4" r:id="rId3"/>
  </sheets>
  <calcPr calcId="152511" concurrentCalc="0"/>
</workbook>
</file>

<file path=xl/calcChain.xml><?xml version="1.0" encoding="utf-8"?>
<calcChain xmlns="http://schemas.openxmlformats.org/spreadsheetml/2006/main">
  <c r="Q3" i="1" l="1"/>
  <c r="Y40" i="1"/>
  <c r="Y15" i="1"/>
  <c r="Y16" i="1"/>
  <c r="Y17" i="1"/>
  <c r="Y18" i="1"/>
  <c r="Y19" i="1"/>
  <c r="Y20" i="1"/>
  <c r="Y21" i="1"/>
  <c r="Y22" i="1"/>
  <c r="Y23" i="1"/>
  <c r="Y24" i="1"/>
  <c r="Y25" i="1"/>
  <c r="Y26" i="1"/>
  <c r="Y14" i="1"/>
  <c r="Y11" i="1"/>
  <c r="AB71" i="1"/>
  <c r="AA71" i="1"/>
  <c r="Z71" i="1"/>
  <c r="AC36" i="1"/>
  <c r="AB36" i="1"/>
  <c r="AA36" i="1"/>
  <c r="E75" i="1"/>
  <c r="E29" i="1"/>
  <c r="E63" i="1"/>
  <c r="E72" i="1"/>
  <c r="H37" i="1"/>
  <c r="E37" i="1"/>
  <c r="AH8" i="4"/>
  <c r="AH14" i="4"/>
  <c r="AH13" i="4"/>
  <c r="Q37" i="1"/>
  <c r="W37" i="1"/>
  <c r="I37" i="1"/>
  <c r="R37" i="1"/>
  <c r="X37" i="1"/>
  <c r="Y37" i="1"/>
  <c r="AH12" i="4"/>
  <c r="AH11" i="4"/>
  <c r="AH10" i="4"/>
  <c r="AH9" i="4"/>
  <c r="Q63" i="1"/>
  <c r="W63" i="1"/>
  <c r="AH7" i="4"/>
  <c r="AH6" i="4"/>
  <c r="AH5" i="4"/>
  <c r="Q29" i="1"/>
  <c r="W29" i="1"/>
  <c r="I29" i="1"/>
  <c r="R29" i="1"/>
  <c r="X29" i="1"/>
  <c r="Y29" i="1"/>
  <c r="AH4" i="4"/>
  <c r="C4" i="4"/>
  <c r="C5" i="4"/>
  <c r="C6" i="4"/>
  <c r="C7" i="4"/>
  <c r="C9" i="4"/>
  <c r="C12" i="4"/>
  <c r="C13" i="4"/>
  <c r="C14" i="4"/>
  <c r="C19" i="4"/>
  <c r="B12" i="4"/>
  <c r="D12" i="4"/>
  <c r="B4" i="4"/>
  <c r="D4" i="4"/>
  <c r="B5" i="4"/>
  <c r="D5" i="4"/>
  <c r="B6" i="4"/>
  <c r="D6" i="4"/>
  <c r="B7" i="4"/>
  <c r="D7" i="4"/>
  <c r="B9" i="4"/>
  <c r="D9" i="4"/>
  <c r="B13" i="4"/>
  <c r="D13" i="4"/>
  <c r="B14" i="4"/>
  <c r="D14" i="4"/>
  <c r="D19" i="4"/>
  <c r="E12" i="4"/>
  <c r="E4" i="4"/>
  <c r="E5" i="4"/>
  <c r="E6" i="4"/>
  <c r="E7" i="4"/>
  <c r="E9" i="4"/>
  <c r="E13" i="4"/>
  <c r="E14" i="4"/>
  <c r="E19" i="4"/>
  <c r="F12" i="4"/>
  <c r="F4" i="4"/>
  <c r="F5" i="4"/>
  <c r="F6" i="4"/>
  <c r="F7" i="4"/>
  <c r="F9" i="4"/>
  <c r="F13" i="4"/>
  <c r="F14" i="4"/>
  <c r="F19" i="4"/>
  <c r="G12" i="4"/>
  <c r="G4" i="4"/>
  <c r="G5" i="4"/>
  <c r="G6" i="4"/>
  <c r="G7" i="4"/>
  <c r="G9" i="4"/>
  <c r="G13" i="4"/>
  <c r="G14" i="4"/>
  <c r="G19" i="4"/>
  <c r="H4" i="4"/>
  <c r="H5" i="4"/>
  <c r="H6" i="4"/>
  <c r="H7" i="4"/>
  <c r="H9" i="4"/>
  <c r="H12" i="4"/>
  <c r="H13" i="4"/>
  <c r="H14" i="4"/>
  <c r="H19" i="4"/>
  <c r="I4" i="4"/>
  <c r="I5" i="4"/>
  <c r="I6" i="4"/>
  <c r="I7" i="4"/>
  <c r="I9" i="4"/>
  <c r="I12" i="4"/>
  <c r="I13" i="4"/>
  <c r="I14" i="4"/>
  <c r="I19" i="4"/>
  <c r="J4" i="4"/>
  <c r="J5" i="4"/>
  <c r="J6" i="4"/>
  <c r="J7" i="4"/>
  <c r="J9" i="4"/>
  <c r="J12" i="4"/>
  <c r="J13" i="4"/>
  <c r="J14" i="4"/>
  <c r="J19" i="4"/>
  <c r="K4" i="4"/>
  <c r="K5" i="4"/>
  <c r="K6" i="4"/>
  <c r="K7" i="4"/>
  <c r="K9" i="4"/>
  <c r="K12" i="4"/>
  <c r="K13" i="4"/>
  <c r="K14" i="4"/>
  <c r="K19" i="4"/>
  <c r="L4" i="4"/>
  <c r="L5" i="4"/>
  <c r="L6" i="4"/>
  <c r="L7" i="4"/>
  <c r="L9" i="4"/>
  <c r="L12" i="4"/>
  <c r="L13" i="4"/>
  <c r="L14" i="4"/>
  <c r="L19" i="4"/>
  <c r="M4" i="4"/>
  <c r="M5" i="4"/>
  <c r="M6" i="4"/>
  <c r="M7" i="4"/>
  <c r="M9" i="4"/>
  <c r="M12" i="4"/>
  <c r="M13" i="4"/>
  <c r="M14" i="4"/>
  <c r="M19" i="4"/>
  <c r="N12" i="4"/>
  <c r="N4" i="4"/>
  <c r="N5" i="4"/>
  <c r="N6" i="4"/>
  <c r="Q72" i="1"/>
  <c r="N7" i="4"/>
  <c r="N9" i="4"/>
  <c r="N13" i="4"/>
  <c r="N14" i="4"/>
  <c r="N19" i="4"/>
  <c r="O12" i="4"/>
  <c r="O4" i="4"/>
  <c r="O5" i="4"/>
  <c r="O6" i="4"/>
  <c r="O7" i="4"/>
  <c r="O9" i="4"/>
  <c r="O13" i="4"/>
  <c r="O14" i="4"/>
  <c r="O19" i="4"/>
  <c r="P12" i="4"/>
  <c r="P4" i="4"/>
  <c r="P5" i="4"/>
  <c r="P6" i="4"/>
  <c r="P7" i="4"/>
  <c r="P9" i="4"/>
  <c r="P13" i="4"/>
  <c r="P14" i="4"/>
  <c r="P19" i="4"/>
  <c r="Q4" i="4"/>
  <c r="Q5" i="4"/>
  <c r="Q6" i="4"/>
  <c r="Q7" i="4"/>
  <c r="Q9" i="4"/>
  <c r="Q12" i="4"/>
  <c r="Q13" i="4"/>
  <c r="Q14" i="4"/>
  <c r="Q19" i="4"/>
  <c r="R4" i="4"/>
  <c r="R5" i="4"/>
  <c r="R6" i="4"/>
  <c r="R7" i="4"/>
  <c r="R9" i="4"/>
  <c r="R12" i="4"/>
  <c r="R13" i="4"/>
  <c r="R14" i="4"/>
  <c r="R19" i="4"/>
  <c r="S4" i="4"/>
  <c r="S5" i="4"/>
  <c r="S6" i="4"/>
  <c r="S7" i="4"/>
  <c r="S9" i="4"/>
  <c r="S12" i="4"/>
  <c r="S13" i="4"/>
  <c r="S14" i="4"/>
  <c r="S19" i="4"/>
  <c r="T12" i="4"/>
  <c r="T4" i="4"/>
  <c r="T5" i="4"/>
  <c r="T6" i="4"/>
  <c r="T7" i="4"/>
  <c r="T9" i="4"/>
  <c r="T13" i="4"/>
  <c r="T14" i="4"/>
  <c r="T19" i="4"/>
  <c r="U12" i="4"/>
  <c r="U4" i="4"/>
  <c r="U5" i="4"/>
  <c r="U6" i="4"/>
  <c r="U7" i="4"/>
  <c r="U9" i="4"/>
  <c r="U13" i="4"/>
  <c r="U14" i="4"/>
  <c r="U19" i="4"/>
  <c r="V12" i="4"/>
  <c r="V4" i="4"/>
  <c r="V5" i="4"/>
  <c r="V6" i="4"/>
  <c r="V7" i="4"/>
  <c r="V9" i="4"/>
  <c r="V13" i="4"/>
  <c r="V14" i="4"/>
  <c r="V19" i="4"/>
  <c r="C8" i="4"/>
  <c r="C10" i="4"/>
  <c r="C11" i="4"/>
  <c r="C18" i="4"/>
  <c r="B8" i="4"/>
  <c r="D8" i="4"/>
  <c r="B10" i="4"/>
  <c r="D10" i="4"/>
  <c r="B11" i="4"/>
  <c r="D11" i="4"/>
  <c r="D18" i="4"/>
  <c r="E8" i="4"/>
  <c r="E10" i="4"/>
  <c r="E11" i="4"/>
  <c r="E18" i="4"/>
  <c r="F8" i="4"/>
  <c r="F10" i="4"/>
  <c r="F11" i="4"/>
  <c r="F18" i="4"/>
  <c r="G8" i="4"/>
  <c r="G10" i="4"/>
  <c r="G11" i="4"/>
  <c r="G18" i="4"/>
  <c r="H8" i="4"/>
  <c r="H10" i="4"/>
  <c r="H11" i="4"/>
  <c r="H18" i="4"/>
  <c r="I8" i="4"/>
  <c r="I10" i="4"/>
  <c r="I11" i="4"/>
  <c r="I18" i="4"/>
  <c r="J8" i="4"/>
  <c r="J10" i="4"/>
  <c r="J11" i="4"/>
  <c r="J18" i="4"/>
  <c r="K8" i="4"/>
  <c r="K10" i="4"/>
  <c r="K11" i="4"/>
  <c r="K18" i="4"/>
  <c r="L8" i="4"/>
  <c r="L10" i="4"/>
  <c r="L11" i="4"/>
  <c r="L18" i="4"/>
  <c r="M8" i="4"/>
  <c r="M10" i="4"/>
  <c r="M11" i="4"/>
  <c r="M18" i="4"/>
  <c r="Q8" i="1"/>
  <c r="N8" i="4"/>
  <c r="N10" i="4"/>
  <c r="Q75" i="1"/>
  <c r="N11" i="4"/>
  <c r="N18" i="4"/>
  <c r="O8" i="4"/>
  <c r="O10" i="4"/>
  <c r="O11" i="4"/>
  <c r="O18" i="4"/>
  <c r="P8" i="4"/>
  <c r="P10" i="4"/>
  <c r="P11" i="4"/>
  <c r="P18" i="4"/>
  <c r="Q8" i="4"/>
  <c r="Q10" i="4"/>
  <c r="Q11" i="4"/>
  <c r="Q18" i="4"/>
  <c r="R8" i="4"/>
  <c r="R10" i="4"/>
  <c r="R11" i="4"/>
  <c r="R18" i="4"/>
  <c r="S8" i="4"/>
  <c r="S10" i="4"/>
  <c r="S11" i="4"/>
  <c r="S18" i="4"/>
  <c r="T8" i="4"/>
  <c r="T10" i="4"/>
  <c r="T11" i="4"/>
  <c r="T18" i="4"/>
  <c r="U8" i="4"/>
  <c r="U10" i="4"/>
  <c r="U11" i="4"/>
  <c r="U18" i="4"/>
  <c r="V8" i="4"/>
  <c r="V10" i="4"/>
  <c r="V11" i="4"/>
  <c r="V18" i="4"/>
  <c r="B19" i="4"/>
  <c r="B18" i="4"/>
  <c r="C13" i="2"/>
  <c r="K13" i="2"/>
  <c r="E13" i="2"/>
  <c r="O13" i="2"/>
  <c r="F13" i="2"/>
  <c r="L13" i="2"/>
  <c r="P13" i="2"/>
  <c r="C22" i="2"/>
  <c r="K22" i="2"/>
  <c r="O22" i="2"/>
  <c r="K4" i="2"/>
  <c r="O4" i="2"/>
  <c r="U2" i="2"/>
  <c r="C5" i="2"/>
  <c r="K5" i="2"/>
  <c r="O5" i="2"/>
  <c r="C23" i="2"/>
  <c r="K23" i="2"/>
  <c r="O23" i="2"/>
  <c r="U3" i="2"/>
  <c r="U4" i="2"/>
  <c r="V2" i="2"/>
  <c r="V3" i="2"/>
  <c r="V4" i="2"/>
  <c r="N25" i="2"/>
  <c r="M25" i="2"/>
  <c r="L25" i="2"/>
  <c r="K25" i="2"/>
  <c r="J25" i="2"/>
  <c r="I25" i="2"/>
  <c r="H25" i="2"/>
  <c r="G25" i="2"/>
  <c r="F25" i="2"/>
  <c r="E25" i="2"/>
  <c r="D25" i="2"/>
  <c r="C25" i="2"/>
  <c r="E3" i="4"/>
  <c r="E15" i="4"/>
  <c r="E105" i="1"/>
  <c r="E87" i="1"/>
  <c r="E3" i="1"/>
  <c r="E4" i="1"/>
  <c r="E7" i="1"/>
  <c r="E9" i="1"/>
  <c r="E12" i="1"/>
  <c r="E16" i="1"/>
  <c r="E41" i="1"/>
  <c r="E57" i="1"/>
  <c r="E59" i="1"/>
  <c r="E60" i="1"/>
  <c r="E71" i="1"/>
  <c r="E18" i="1"/>
  <c r="E31" i="1"/>
  <c r="E43" i="1"/>
  <c r="E62" i="1"/>
  <c r="E33" i="1"/>
  <c r="B3" i="4"/>
  <c r="C3" i="4"/>
  <c r="D3" i="4"/>
  <c r="D15" i="4"/>
  <c r="Q38" i="1"/>
  <c r="Q69" i="1"/>
  <c r="Q76" i="1"/>
  <c r="Q25" i="1"/>
  <c r="Q50" i="1"/>
  <c r="Q58" i="1"/>
  <c r="T87" i="1"/>
  <c r="Q87" i="1"/>
  <c r="I38" i="1"/>
  <c r="L38" i="1"/>
  <c r="O38" i="1"/>
  <c r="U38" i="1"/>
  <c r="R38" i="1"/>
  <c r="I76" i="1"/>
  <c r="L76" i="1"/>
  <c r="O76" i="1"/>
  <c r="U76" i="1"/>
  <c r="R76" i="1"/>
  <c r="I25" i="1"/>
  <c r="L25" i="1"/>
  <c r="O25" i="1"/>
  <c r="U25" i="1"/>
  <c r="R25" i="1"/>
  <c r="I50" i="1"/>
  <c r="L50" i="1"/>
  <c r="O50" i="1"/>
  <c r="U50" i="1"/>
  <c r="R50" i="1"/>
  <c r="I58" i="1"/>
  <c r="L58" i="1"/>
  <c r="O58" i="1"/>
  <c r="U58" i="1"/>
  <c r="R58" i="1"/>
  <c r="I69" i="1"/>
  <c r="L69" i="1"/>
  <c r="O69" i="1"/>
  <c r="U69" i="1"/>
  <c r="R69" i="1"/>
  <c r="I87" i="1"/>
  <c r="L87" i="1"/>
  <c r="O87" i="1"/>
  <c r="R87" i="1"/>
  <c r="Q23" i="1"/>
  <c r="Q36" i="1"/>
  <c r="Q40" i="1"/>
  <c r="Q48" i="1"/>
  <c r="Q67" i="1"/>
  <c r="Q85" i="1"/>
  <c r="Q4" i="1"/>
  <c r="Q7" i="1"/>
  <c r="Q9" i="1"/>
  <c r="Q12" i="1"/>
  <c r="Q16" i="1"/>
  <c r="Q41" i="1"/>
  <c r="Q57" i="1"/>
  <c r="Q59" i="1"/>
  <c r="Q60" i="1"/>
  <c r="Q71" i="1"/>
  <c r="T78" i="1"/>
  <c r="Q78" i="1"/>
  <c r="Q13" i="1"/>
  <c r="Q17" i="1"/>
  <c r="Q30" i="1"/>
  <c r="Q42" i="1"/>
  <c r="Q61" i="1"/>
  <c r="Q79" i="1"/>
  <c r="Q18" i="1"/>
  <c r="Q31" i="1"/>
  <c r="Q43" i="1"/>
  <c r="Q62" i="1"/>
  <c r="T80" i="1"/>
  <c r="Q80" i="1"/>
  <c r="Q19" i="1"/>
  <c r="H32" i="1"/>
  <c r="Q32" i="1"/>
  <c r="Q44" i="1"/>
  <c r="Q81" i="1"/>
  <c r="Q27" i="1"/>
  <c r="Q20" i="1"/>
  <c r="Q33" i="1"/>
  <c r="Q45" i="1"/>
  <c r="Q64" i="1"/>
  <c r="Q73" i="1"/>
  <c r="Q82" i="1"/>
  <c r="Q21" i="1"/>
  <c r="H34" i="1"/>
  <c r="Q34" i="1"/>
  <c r="Q46" i="1"/>
  <c r="Q65" i="1"/>
  <c r="Q83" i="1"/>
  <c r="Q22" i="1"/>
  <c r="H35" i="1"/>
  <c r="Q35" i="1"/>
  <c r="Q47" i="1"/>
  <c r="Q66" i="1"/>
  <c r="Q74" i="1"/>
  <c r="Q84" i="1"/>
  <c r="N3" i="4"/>
  <c r="I36" i="1"/>
  <c r="O36" i="1"/>
  <c r="L36" i="1"/>
  <c r="U36" i="1"/>
  <c r="R36" i="1"/>
  <c r="I23" i="1"/>
  <c r="L23" i="1"/>
  <c r="O23" i="1"/>
  <c r="U23" i="1"/>
  <c r="R23" i="1"/>
  <c r="I40" i="1"/>
  <c r="L40" i="1"/>
  <c r="O40" i="1"/>
  <c r="U40" i="1"/>
  <c r="R40" i="1"/>
  <c r="I48" i="1"/>
  <c r="L48" i="1"/>
  <c r="O48" i="1"/>
  <c r="U48" i="1"/>
  <c r="R48" i="1"/>
  <c r="I67" i="1"/>
  <c r="L67" i="1"/>
  <c r="O67" i="1"/>
  <c r="U67" i="1"/>
  <c r="R67" i="1"/>
  <c r="I75" i="1"/>
  <c r="O75" i="1"/>
  <c r="U75" i="1"/>
  <c r="R75" i="1"/>
  <c r="I85" i="1"/>
  <c r="L85" i="1"/>
  <c r="O85" i="1"/>
  <c r="R85" i="1"/>
  <c r="I3" i="1"/>
  <c r="L3" i="1"/>
  <c r="O3" i="1"/>
  <c r="U3" i="1"/>
  <c r="R3" i="1"/>
  <c r="I4" i="1"/>
  <c r="L4" i="1"/>
  <c r="O4" i="1"/>
  <c r="U4" i="1"/>
  <c r="R4" i="1"/>
  <c r="I7" i="1"/>
  <c r="L7" i="1"/>
  <c r="O7" i="1"/>
  <c r="U7" i="1"/>
  <c r="R7" i="1"/>
  <c r="I9" i="1"/>
  <c r="L9" i="1"/>
  <c r="O9" i="1"/>
  <c r="U9" i="1"/>
  <c r="R9" i="1"/>
  <c r="I12" i="1"/>
  <c r="L12" i="1"/>
  <c r="O12" i="1"/>
  <c r="U12" i="1"/>
  <c r="R12" i="1"/>
  <c r="I16" i="1"/>
  <c r="L16" i="1"/>
  <c r="O16" i="1"/>
  <c r="U16" i="1"/>
  <c r="R16" i="1"/>
  <c r="L29" i="1"/>
  <c r="O29" i="1"/>
  <c r="U29" i="1"/>
  <c r="I41" i="1"/>
  <c r="L41" i="1"/>
  <c r="O41" i="1"/>
  <c r="U41" i="1"/>
  <c r="R41" i="1"/>
  <c r="I57" i="1"/>
  <c r="L57" i="1"/>
  <c r="O57" i="1"/>
  <c r="U57" i="1"/>
  <c r="R57" i="1"/>
  <c r="I59" i="1"/>
  <c r="L59" i="1"/>
  <c r="O59" i="1"/>
  <c r="U59" i="1"/>
  <c r="R59" i="1"/>
  <c r="I60" i="1"/>
  <c r="L60" i="1"/>
  <c r="O60" i="1"/>
  <c r="U60" i="1"/>
  <c r="R60" i="1"/>
  <c r="I71" i="1"/>
  <c r="L71" i="1"/>
  <c r="O71" i="1"/>
  <c r="U71" i="1"/>
  <c r="R71" i="1"/>
  <c r="I78" i="1"/>
  <c r="L78" i="1"/>
  <c r="O78" i="1"/>
  <c r="R78" i="1"/>
  <c r="I13" i="1"/>
  <c r="L13" i="1"/>
  <c r="O13" i="1"/>
  <c r="U13" i="1"/>
  <c r="R13" i="1"/>
  <c r="I17" i="1"/>
  <c r="L17" i="1"/>
  <c r="O17" i="1"/>
  <c r="U17" i="1"/>
  <c r="R17" i="1"/>
  <c r="I30" i="1"/>
  <c r="L30" i="1"/>
  <c r="O30" i="1"/>
  <c r="U30" i="1"/>
  <c r="R30" i="1"/>
  <c r="I42" i="1"/>
  <c r="L42" i="1"/>
  <c r="O42" i="1"/>
  <c r="U42" i="1"/>
  <c r="R42" i="1"/>
  <c r="I61" i="1"/>
  <c r="L61" i="1"/>
  <c r="O61" i="1"/>
  <c r="U61" i="1"/>
  <c r="R61" i="1"/>
  <c r="I79" i="1"/>
  <c r="L79" i="1"/>
  <c r="O79" i="1"/>
  <c r="U79" i="1"/>
  <c r="R79" i="1"/>
  <c r="I18" i="1"/>
  <c r="L18" i="1"/>
  <c r="O18" i="1"/>
  <c r="U18" i="1"/>
  <c r="R18" i="1"/>
  <c r="I31" i="1"/>
  <c r="L31" i="1"/>
  <c r="O31" i="1"/>
  <c r="U31" i="1"/>
  <c r="R31" i="1"/>
  <c r="I43" i="1"/>
  <c r="L43" i="1"/>
  <c r="O43" i="1"/>
  <c r="U43" i="1"/>
  <c r="R43" i="1"/>
  <c r="I62" i="1"/>
  <c r="L62" i="1"/>
  <c r="O62" i="1"/>
  <c r="U62" i="1"/>
  <c r="R62" i="1"/>
  <c r="I80" i="1"/>
  <c r="L80" i="1"/>
  <c r="O80" i="1"/>
  <c r="R80" i="1"/>
  <c r="I19" i="1"/>
  <c r="L19" i="1"/>
  <c r="O19" i="1"/>
  <c r="U19" i="1"/>
  <c r="R19" i="1"/>
  <c r="I27" i="1"/>
  <c r="L27" i="1"/>
  <c r="O27" i="1"/>
  <c r="U27" i="1"/>
  <c r="R27" i="1"/>
  <c r="I32" i="1"/>
  <c r="L32" i="1"/>
  <c r="O32" i="1"/>
  <c r="U32" i="1"/>
  <c r="R32" i="1"/>
  <c r="I44" i="1"/>
  <c r="L44" i="1"/>
  <c r="O44" i="1"/>
  <c r="U44" i="1"/>
  <c r="R44" i="1"/>
  <c r="I63" i="1"/>
  <c r="L63" i="1"/>
  <c r="O63" i="1"/>
  <c r="U63" i="1"/>
  <c r="R63" i="1"/>
  <c r="I72" i="1"/>
  <c r="L72" i="1"/>
  <c r="O72" i="1"/>
  <c r="U72" i="1"/>
  <c r="R72" i="1"/>
  <c r="I81" i="1"/>
  <c r="L81" i="1"/>
  <c r="O81" i="1"/>
  <c r="R81" i="1"/>
  <c r="I8" i="1"/>
  <c r="L8" i="1"/>
  <c r="O8" i="1"/>
  <c r="U8" i="1"/>
  <c r="R8" i="1"/>
  <c r="I20" i="1"/>
  <c r="L20" i="1"/>
  <c r="O20" i="1"/>
  <c r="U20" i="1"/>
  <c r="R20" i="1"/>
  <c r="I33" i="1"/>
  <c r="L33" i="1"/>
  <c r="O33" i="1"/>
  <c r="U33" i="1"/>
  <c r="R33" i="1"/>
  <c r="I45" i="1"/>
  <c r="L45" i="1"/>
  <c r="O45" i="1"/>
  <c r="U45" i="1"/>
  <c r="R45" i="1"/>
  <c r="I64" i="1"/>
  <c r="L64" i="1"/>
  <c r="O64" i="1"/>
  <c r="U64" i="1"/>
  <c r="R64" i="1"/>
  <c r="I73" i="1"/>
  <c r="L73" i="1"/>
  <c r="O73" i="1"/>
  <c r="U73" i="1"/>
  <c r="R73" i="1"/>
  <c r="I82" i="1"/>
  <c r="L82" i="1"/>
  <c r="O82" i="1"/>
  <c r="R82" i="1"/>
  <c r="I21" i="1"/>
  <c r="L21" i="1"/>
  <c r="O21" i="1"/>
  <c r="U21" i="1"/>
  <c r="R21" i="1"/>
  <c r="I34" i="1"/>
  <c r="L34" i="1"/>
  <c r="O34" i="1"/>
  <c r="U34" i="1"/>
  <c r="R34" i="1"/>
  <c r="I46" i="1"/>
  <c r="L46" i="1"/>
  <c r="O46" i="1"/>
  <c r="U46" i="1"/>
  <c r="R46" i="1"/>
  <c r="I65" i="1"/>
  <c r="L65" i="1"/>
  <c r="O65" i="1"/>
  <c r="U65" i="1"/>
  <c r="R65" i="1"/>
  <c r="I83" i="1"/>
  <c r="L83" i="1"/>
  <c r="O83" i="1"/>
  <c r="R83" i="1"/>
  <c r="I22" i="1"/>
  <c r="L22" i="1"/>
  <c r="O22" i="1"/>
  <c r="U22" i="1"/>
  <c r="R22" i="1"/>
  <c r="I35" i="1"/>
  <c r="L35" i="1"/>
  <c r="O35" i="1"/>
  <c r="U35" i="1"/>
  <c r="R35" i="1"/>
  <c r="I47" i="1"/>
  <c r="L47" i="1"/>
  <c r="O47" i="1"/>
  <c r="U47" i="1"/>
  <c r="R47" i="1"/>
  <c r="I66" i="1"/>
  <c r="L66" i="1"/>
  <c r="O66" i="1"/>
  <c r="U66" i="1"/>
  <c r="R66" i="1"/>
  <c r="I74" i="1"/>
  <c r="L74" i="1"/>
  <c r="O74" i="1"/>
  <c r="U74" i="1"/>
  <c r="R74" i="1"/>
  <c r="I84" i="1"/>
  <c r="L84" i="1"/>
  <c r="O84" i="1"/>
  <c r="R84" i="1"/>
  <c r="O3" i="4"/>
  <c r="P3" i="4"/>
  <c r="Q5" i="1"/>
  <c r="Q6" i="1"/>
  <c r="Q10" i="1"/>
  <c r="Q14" i="1"/>
  <c r="Q15" i="1"/>
  <c r="Q24" i="1"/>
  <c r="Q49" i="1"/>
  <c r="Q52" i="1"/>
  <c r="Q53" i="1"/>
  <c r="Q54" i="1"/>
  <c r="Q55" i="1"/>
  <c r="Q56" i="1"/>
  <c r="Q68" i="1"/>
  <c r="Q86" i="1"/>
  <c r="I5" i="1"/>
  <c r="L5" i="1"/>
  <c r="O5" i="1"/>
  <c r="U5" i="1"/>
  <c r="R5" i="1"/>
  <c r="I6" i="1"/>
  <c r="L6" i="1"/>
  <c r="O6" i="1"/>
  <c r="U6" i="1"/>
  <c r="R6" i="1"/>
  <c r="I10" i="1"/>
  <c r="L10" i="1"/>
  <c r="O10" i="1"/>
  <c r="U10" i="1"/>
  <c r="R10" i="1"/>
  <c r="I14" i="1"/>
  <c r="L14" i="1"/>
  <c r="O14" i="1"/>
  <c r="U14" i="1"/>
  <c r="R14" i="1"/>
  <c r="I15" i="1"/>
  <c r="L15" i="1"/>
  <c r="O15" i="1"/>
  <c r="U15" i="1"/>
  <c r="R15" i="1"/>
  <c r="I24" i="1"/>
  <c r="L24" i="1"/>
  <c r="O24" i="1"/>
  <c r="U24" i="1"/>
  <c r="R24" i="1"/>
  <c r="L37" i="1"/>
  <c r="O37" i="1"/>
  <c r="U37" i="1"/>
  <c r="I49" i="1"/>
  <c r="L49" i="1"/>
  <c r="O49" i="1"/>
  <c r="U49" i="1"/>
  <c r="R49" i="1"/>
  <c r="I52" i="1"/>
  <c r="L52" i="1"/>
  <c r="O52" i="1"/>
  <c r="U52" i="1"/>
  <c r="R52" i="1"/>
  <c r="I53" i="1"/>
  <c r="L53" i="1"/>
  <c r="O53" i="1"/>
  <c r="U53" i="1"/>
  <c r="R53" i="1"/>
  <c r="I54" i="1"/>
  <c r="L54" i="1"/>
  <c r="O54" i="1"/>
  <c r="U54" i="1"/>
  <c r="R54" i="1"/>
  <c r="I55" i="1"/>
  <c r="L55" i="1"/>
  <c r="O55" i="1"/>
  <c r="U55" i="1"/>
  <c r="R55" i="1"/>
  <c r="L56" i="1"/>
  <c r="O56" i="1"/>
  <c r="U56" i="1"/>
  <c r="R56" i="1"/>
  <c r="I68" i="1"/>
  <c r="L68" i="1"/>
  <c r="O68" i="1"/>
  <c r="U68" i="1"/>
  <c r="R68" i="1"/>
  <c r="I86" i="1"/>
  <c r="L86" i="1"/>
  <c r="O86" i="1"/>
  <c r="R86" i="1"/>
  <c r="Q11" i="1"/>
  <c r="H26" i="1"/>
  <c r="Q26" i="1"/>
  <c r="Q28" i="1"/>
  <c r="Q39" i="1"/>
  <c r="Q51" i="1"/>
  <c r="Q70" i="1"/>
  <c r="Q77" i="1"/>
  <c r="T88" i="1"/>
  <c r="Q88" i="1"/>
  <c r="I11" i="1"/>
  <c r="L11" i="1"/>
  <c r="O11" i="1"/>
  <c r="U11" i="1"/>
  <c r="R11" i="1"/>
  <c r="I26" i="1"/>
  <c r="L26" i="1"/>
  <c r="O26" i="1"/>
  <c r="U26" i="1"/>
  <c r="R26" i="1"/>
  <c r="I28" i="1"/>
  <c r="L28" i="1"/>
  <c r="O28" i="1"/>
  <c r="U28" i="1"/>
  <c r="R28" i="1"/>
  <c r="I39" i="1"/>
  <c r="L39" i="1"/>
  <c r="O39" i="1"/>
  <c r="U39" i="1"/>
  <c r="R39" i="1"/>
  <c r="I51" i="1"/>
  <c r="L51" i="1"/>
  <c r="O51" i="1"/>
  <c r="U51" i="1"/>
  <c r="R51" i="1"/>
  <c r="I70" i="1"/>
  <c r="L70" i="1"/>
  <c r="O70" i="1"/>
  <c r="U70" i="1"/>
  <c r="R70" i="1"/>
  <c r="I77" i="1"/>
  <c r="L77" i="1"/>
  <c r="O77" i="1"/>
  <c r="U77" i="1"/>
  <c r="R77" i="1"/>
  <c r="I88" i="1"/>
  <c r="L88" i="1"/>
  <c r="O88" i="1"/>
  <c r="R88" i="1"/>
  <c r="P15" i="4"/>
  <c r="F3" i="4"/>
  <c r="G3" i="4"/>
  <c r="G15" i="4"/>
  <c r="K3" i="4"/>
  <c r="L3" i="4"/>
  <c r="M3" i="4"/>
  <c r="M15" i="4"/>
  <c r="H3" i="4"/>
  <c r="I3" i="4"/>
  <c r="J3" i="4"/>
  <c r="J15" i="4"/>
  <c r="Q3" i="4"/>
  <c r="R3" i="4"/>
  <c r="S3" i="4"/>
  <c r="S15" i="4"/>
  <c r="V15" i="4"/>
  <c r="G13" i="2"/>
  <c r="I13" i="2"/>
  <c r="M13" i="2"/>
  <c r="D13" i="2"/>
  <c r="H13" i="2"/>
  <c r="J13" i="2"/>
  <c r="N13" i="2"/>
  <c r="E22" i="2"/>
  <c r="G22" i="2"/>
  <c r="I22" i="2"/>
  <c r="M22" i="2"/>
  <c r="F22" i="2"/>
  <c r="L22" i="2"/>
  <c r="D22" i="2"/>
  <c r="H22" i="2"/>
  <c r="J22" i="2"/>
  <c r="N22" i="2"/>
  <c r="P22" i="2"/>
  <c r="C4" i="2"/>
  <c r="E4" i="2"/>
  <c r="G4" i="2"/>
  <c r="I4" i="2"/>
  <c r="M4" i="2"/>
  <c r="D4" i="2"/>
  <c r="F4" i="2"/>
  <c r="H4" i="2"/>
  <c r="J4" i="2"/>
  <c r="L4" i="2"/>
  <c r="N4" i="2"/>
  <c r="P4" i="2"/>
  <c r="C7" i="2"/>
  <c r="E7" i="2"/>
  <c r="G7" i="2"/>
  <c r="I7" i="2"/>
  <c r="K7" i="2"/>
  <c r="M7" i="2"/>
  <c r="O7" i="2"/>
  <c r="D7" i="2"/>
  <c r="F7" i="2"/>
  <c r="H7" i="2"/>
  <c r="J7" i="2"/>
  <c r="L7" i="2"/>
  <c r="N7" i="2"/>
  <c r="P7" i="2"/>
  <c r="C10" i="2"/>
  <c r="E10" i="2"/>
  <c r="G10" i="2"/>
  <c r="I10" i="2"/>
  <c r="K10" i="2"/>
  <c r="M10" i="2"/>
  <c r="O10" i="2"/>
  <c r="D10" i="2"/>
  <c r="F10" i="2"/>
  <c r="H10" i="2"/>
  <c r="J10" i="2"/>
  <c r="L10" i="2"/>
  <c r="N10" i="2"/>
  <c r="P10" i="2"/>
  <c r="C16" i="2"/>
  <c r="E16" i="2"/>
  <c r="G16" i="2"/>
  <c r="I16" i="2"/>
  <c r="K16" i="2"/>
  <c r="M16" i="2"/>
  <c r="O16" i="2"/>
  <c r="D16" i="2"/>
  <c r="F16" i="2"/>
  <c r="H16" i="2"/>
  <c r="J16" i="2"/>
  <c r="L16" i="2"/>
  <c r="N16" i="2"/>
  <c r="P16" i="2"/>
  <c r="C19" i="2"/>
  <c r="E19" i="2"/>
  <c r="G19" i="2"/>
  <c r="I19" i="2"/>
  <c r="K19" i="2"/>
  <c r="M19" i="2"/>
  <c r="O19" i="2"/>
  <c r="D19" i="2"/>
  <c r="F19" i="2"/>
  <c r="H19" i="2"/>
  <c r="J19" i="2"/>
  <c r="L19" i="2"/>
  <c r="N19" i="2"/>
  <c r="P19" i="2"/>
  <c r="O25" i="2"/>
  <c r="P25" i="2"/>
  <c r="C11" i="2"/>
  <c r="K11" i="2"/>
  <c r="E11" i="2"/>
  <c r="G11" i="2"/>
  <c r="I11" i="2"/>
  <c r="M11" i="2"/>
  <c r="O11" i="2"/>
  <c r="C14" i="2"/>
  <c r="K14" i="2"/>
  <c r="E14" i="2"/>
  <c r="I14" i="2"/>
  <c r="G14" i="2"/>
  <c r="M14" i="2"/>
  <c r="O14" i="2"/>
  <c r="F14" i="2"/>
  <c r="L14" i="2"/>
  <c r="J14" i="2"/>
  <c r="D14" i="2"/>
  <c r="H14" i="2"/>
  <c r="N14" i="2"/>
  <c r="P14" i="2"/>
  <c r="C17" i="2"/>
  <c r="K17" i="2"/>
  <c r="E17" i="2"/>
  <c r="G17" i="2"/>
  <c r="I17" i="2"/>
  <c r="M17" i="2"/>
  <c r="O17" i="2"/>
  <c r="E23" i="2"/>
  <c r="G23" i="2"/>
  <c r="I23" i="2"/>
  <c r="M23" i="2"/>
  <c r="E5" i="2"/>
  <c r="G5" i="2"/>
  <c r="I5" i="2"/>
  <c r="M5" i="2"/>
  <c r="D5" i="2"/>
  <c r="F5" i="2"/>
  <c r="H5" i="2"/>
  <c r="J5" i="2"/>
  <c r="L5" i="2"/>
  <c r="N5" i="2"/>
  <c r="P5" i="2"/>
  <c r="K8" i="2"/>
  <c r="O8" i="2"/>
  <c r="H8" i="2"/>
  <c r="N8" i="2"/>
  <c r="L8" i="2"/>
  <c r="P8" i="2"/>
  <c r="D11" i="2"/>
  <c r="F11" i="2"/>
  <c r="H11" i="2"/>
  <c r="J11" i="2"/>
  <c r="L11" i="2"/>
  <c r="N11" i="2"/>
  <c r="P11" i="2"/>
  <c r="D17" i="2"/>
  <c r="F17" i="2"/>
  <c r="H17" i="2"/>
  <c r="J17" i="2"/>
  <c r="L17" i="2"/>
  <c r="N17" i="2"/>
  <c r="P17" i="2"/>
  <c r="K20" i="2"/>
  <c r="O20" i="2"/>
  <c r="F20" i="2"/>
  <c r="H20" i="2"/>
  <c r="J20" i="2"/>
  <c r="N20" i="2"/>
  <c r="L20" i="2"/>
  <c r="P20" i="2"/>
  <c r="D23" i="2"/>
  <c r="F23" i="2"/>
  <c r="H23" i="2"/>
  <c r="J23" i="2"/>
  <c r="L23" i="2"/>
  <c r="N23" i="2"/>
  <c r="P23" i="2"/>
  <c r="C26" i="2"/>
  <c r="E26" i="2"/>
  <c r="G26" i="2"/>
  <c r="I26" i="2"/>
  <c r="K26" i="2"/>
  <c r="M26" i="2"/>
  <c r="O26" i="2"/>
  <c r="D26" i="2"/>
  <c r="F26" i="2"/>
  <c r="H26" i="2"/>
  <c r="J26" i="2"/>
  <c r="L26" i="2"/>
  <c r="N26" i="2"/>
  <c r="P26" i="2"/>
  <c r="W32" i="1"/>
  <c r="X32" i="1"/>
  <c r="Y32" i="1"/>
  <c r="W33" i="1"/>
  <c r="X33" i="1"/>
  <c r="Y33" i="1"/>
  <c r="W64" i="1"/>
  <c r="X64" i="1"/>
  <c r="Y64" i="1"/>
  <c r="W36" i="1"/>
  <c r="X36" i="1"/>
  <c r="Y36" i="1"/>
  <c r="W67" i="1"/>
  <c r="W35" i="1"/>
  <c r="X35" i="1"/>
  <c r="Y35" i="1"/>
  <c r="W66" i="1"/>
  <c r="W60" i="1"/>
  <c r="W68" i="1"/>
  <c r="W38" i="1"/>
  <c r="X38" i="1"/>
  <c r="Y38" i="1"/>
  <c r="W69" i="1"/>
  <c r="W70" i="1"/>
  <c r="W39" i="1"/>
  <c r="X39" i="1"/>
  <c r="Y39" i="1"/>
  <c r="W61" i="1"/>
  <c r="W30" i="1"/>
  <c r="X30" i="1"/>
  <c r="Y30" i="1"/>
  <c r="W62" i="1"/>
  <c r="W31" i="1"/>
  <c r="X31" i="1"/>
  <c r="Y31" i="1"/>
  <c r="W65" i="1"/>
  <c r="W34" i="1"/>
  <c r="X34" i="1"/>
  <c r="Y34" i="1"/>
  <c r="X18" i="1"/>
  <c r="AG15" i="4"/>
  <c r="AH15" i="4"/>
  <c r="AI15" i="4"/>
  <c r="AI5" i="4"/>
  <c r="AI6" i="4"/>
  <c r="AI7" i="4"/>
  <c r="AI8" i="4"/>
  <c r="AI9" i="4"/>
  <c r="AI10" i="4"/>
  <c r="AI11" i="4"/>
  <c r="AI12" i="4"/>
  <c r="AI13" i="4"/>
  <c r="AI14" i="4"/>
  <c r="AG3" i="4"/>
  <c r="AI4" i="4"/>
  <c r="AH3" i="4"/>
  <c r="AI3" i="4"/>
  <c r="O12" i="2"/>
  <c r="P12" i="2"/>
  <c r="Q12" i="2"/>
  <c r="O21" i="2"/>
  <c r="P21" i="2"/>
  <c r="Q21" i="2"/>
  <c r="I24" i="2"/>
  <c r="E24" i="2"/>
  <c r="D24" i="2"/>
  <c r="C24" i="2"/>
  <c r="G21" i="2"/>
  <c r="M21" i="2"/>
  <c r="E21" i="2"/>
  <c r="I21" i="2"/>
  <c r="M18" i="2"/>
  <c r="I18" i="2"/>
  <c r="G18" i="2"/>
  <c r="E18" i="2"/>
  <c r="D18" i="2"/>
  <c r="M15" i="2"/>
  <c r="E15" i="2"/>
  <c r="I15" i="2"/>
  <c r="G15" i="2"/>
  <c r="D12" i="2"/>
  <c r="I12" i="2"/>
  <c r="M12" i="2"/>
  <c r="G9" i="2"/>
  <c r="M9" i="2"/>
  <c r="E9" i="2"/>
  <c r="I9" i="2"/>
  <c r="N6" i="2"/>
  <c r="G6" i="2"/>
  <c r="E6" i="2"/>
  <c r="M6" i="2"/>
  <c r="I6" i="2"/>
  <c r="M3" i="2"/>
  <c r="I3" i="2"/>
  <c r="I27" i="2"/>
  <c r="G3" i="2"/>
  <c r="E3" i="2"/>
  <c r="T89" i="1"/>
  <c r="N89" i="1"/>
  <c r="K89" i="1"/>
  <c r="H89" i="1"/>
  <c r="F89" i="1"/>
  <c r="W88" i="1"/>
  <c r="W87" i="1"/>
  <c r="W86" i="1"/>
  <c r="W85" i="1"/>
  <c r="W84" i="1"/>
  <c r="W83" i="1"/>
  <c r="W81" i="1"/>
  <c r="W80" i="1"/>
  <c r="N24" i="2"/>
  <c r="W79" i="1"/>
  <c r="W77" i="1"/>
  <c r="W76" i="1"/>
  <c r="W75" i="1"/>
  <c r="W74" i="1"/>
  <c r="X73" i="1"/>
  <c r="W73" i="1"/>
  <c r="W72" i="1"/>
  <c r="X59" i="1"/>
  <c r="X57" i="1"/>
  <c r="W56" i="1"/>
  <c r="W55" i="1"/>
  <c r="W54" i="1"/>
  <c r="W53" i="1"/>
  <c r="W51" i="1"/>
  <c r="W50" i="1"/>
  <c r="W49" i="1"/>
  <c r="W48" i="1"/>
  <c r="W47" i="1"/>
  <c r="W46" i="1"/>
  <c r="W45" i="1"/>
  <c r="W44" i="1"/>
  <c r="W43" i="1"/>
  <c r="W42" i="1"/>
  <c r="W28" i="1"/>
  <c r="W27" i="1"/>
  <c r="W26" i="1"/>
  <c r="N9" i="2"/>
  <c r="W25" i="1"/>
  <c r="W24" i="1"/>
  <c r="W23" i="1"/>
  <c r="W22" i="1"/>
  <c r="W21" i="1"/>
  <c r="X20" i="1"/>
  <c r="W20" i="1"/>
  <c r="W19" i="1"/>
  <c r="W17" i="1"/>
  <c r="W15" i="1"/>
  <c r="J9" i="2"/>
  <c r="W10" i="1"/>
  <c r="W7" i="1"/>
  <c r="W6" i="1"/>
  <c r="W4" i="1"/>
  <c r="X4" i="1"/>
  <c r="E89" i="1"/>
  <c r="E12" i="2"/>
  <c r="E27" i="2"/>
  <c r="G12" i="2"/>
  <c r="G24" i="2"/>
  <c r="G27" i="2"/>
  <c r="X71" i="1"/>
  <c r="X17" i="1"/>
  <c r="X53" i="1"/>
  <c r="W14" i="1"/>
  <c r="W41" i="1"/>
  <c r="X61" i="1"/>
  <c r="X63" i="1"/>
  <c r="X69" i="1"/>
  <c r="X74" i="1"/>
  <c r="J24" i="2"/>
  <c r="Q8" i="2"/>
  <c r="D9" i="2"/>
  <c r="H15" i="2"/>
  <c r="Q20" i="2"/>
  <c r="X13" i="1"/>
  <c r="X10" i="1"/>
  <c r="W40" i="1"/>
  <c r="Q17" i="2"/>
  <c r="L15" i="2"/>
  <c r="J18" i="2"/>
  <c r="W59" i="1"/>
  <c r="X72" i="1"/>
  <c r="X82" i="1"/>
  <c r="Q11" i="2"/>
  <c r="D15" i="2"/>
  <c r="F18" i="2"/>
  <c r="X45" i="1"/>
  <c r="X75" i="1"/>
  <c r="X86" i="1"/>
  <c r="Q26" i="2"/>
  <c r="W12" i="1"/>
  <c r="X43" i="1"/>
  <c r="X51" i="1"/>
  <c r="W11" i="1"/>
  <c r="X49" i="1"/>
  <c r="X70" i="1"/>
  <c r="H6" i="2"/>
  <c r="X28" i="1"/>
  <c r="X44" i="1"/>
  <c r="X88" i="1"/>
  <c r="W5" i="1"/>
  <c r="J6" i="2"/>
  <c r="X15" i="1"/>
  <c r="N12" i="2"/>
  <c r="X3" i="1"/>
  <c r="W13" i="1"/>
  <c r="K9" i="2"/>
  <c r="W16" i="1"/>
  <c r="X23" i="1"/>
  <c r="N21" i="2"/>
  <c r="D6" i="2"/>
  <c r="X40" i="1"/>
  <c r="X48" i="1"/>
  <c r="X67" i="1"/>
  <c r="X85" i="1"/>
  <c r="E102" i="1"/>
  <c r="X83" i="1"/>
  <c r="U89" i="1"/>
  <c r="J3" i="2"/>
  <c r="K6" i="2"/>
  <c r="W9" i="1"/>
  <c r="X12" i="1"/>
  <c r="X25" i="1"/>
  <c r="X27" i="1"/>
  <c r="X47" i="1"/>
  <c r="W52" i="1"/>
  <c r="X55" i="1"/>
  <c r="X7" i="1"/>
  <c r="W8" i="1"/>
  <c r="X16" i="1"/>
  <c r="X24" i="1"/>
  <c r="H12" i="2"/>
  <c r="N18" i="2"/>
  <c r="K21" i="2"/>
  <c r="X76" i="1"/>
  <c r="X81" i="1"/>
  <c r="M24" i="2"/>
  <c r="M27" i="2"/>
  <c r="I89" i="1"/>
  <c r="X6" i="1"/>
  <c r="F9" i="2"/>
  <c r="C15" i="2"/>
  <c r="X42" i="1"/>
  <c r="X46" i="1"/>
  <c r="X50" i="1"/>
  <c r="X54" i="1"/>
  <c r="W57" i="1"/>
  <c r="X62" i="1"/>
  <c r="H24" i="2"/>
  <c r="D3" i="2"/>
  <c r="D21" i="2"/>
  <c r="F6" i="2"/>
  <c r="H18" i="2"/>
  <c r="O89" i="1"/>
  <c r="X5" i="1"/>
  <c r="J12" i="2"/>
  <c r="H21" i="2"/>
  <c r="X60" i="1"/>
  <c r="X68" i="1"/>
  <c r="W78" i="1"/>
  <c r="W82" i="1"/>
  <c r="X84" i="1"/>
  <c r="X8" i="1"/>
  <c r="X52" i="1"/>
  <c r="J21" i="2"/>
  <c r="X87" i="1"/>
  <c r="H3" i="2"/>
  <c r="L89" i="1"/>
  <c r="X65" i="1"/>
  <c r="X11" i="1"/>
  <c r="F15" i="2"/>
  <c r="W58" i="1"/>
  <c r="X66" i="1"/>
  <c r="X79" i="1"/>
  <c r="F3" i="2"/>
  <c r="N15" i="2"/>
  <c r="X77" i="1"/>
  <c r="X80" i="1"/>
  <c r="W71" i="1"/>
  <c r="K12" i="2"/>
  <c r="Q23" i="2"/>
  <c r="Q5" i="2"/>
  <c r="C18" i="2"/>
  <c r="C12" i="2"/>
  <c r="D27" i="2"/>
  <c r="C3" i="2"/>
  <c r="F12" i="2"/>
  <c r="C9" i="2"/>
  <c r="F21" i="2"/>
  <c r="X22" i="1"/>
  <c r="E101" i="1"/>
  <c r="C6" i="2"/>
  <c r="E96" i="1"/>
  <c r="F24" i="2"/>
  <c r="P15" i="2"/>
  <c r="Q89" i="1"/>
  <c r="W89" i="1"/>
  <c r="W3" i="1"/>
  <c r="K3" i="2"/>
  <c r="C21" i="2"/>
  <c r="X26" i="1"/>
  <c r="L6" i="2"/>
  <c r="L24" i="2"/>
  <c r="P18" i="2"/>
  <c r="O15" i="2"/>
  <c r="Q15" i="2"/>
  <c r="Q16" i="2"/>
  <c r="L9" i="2"/>
  <c r="K18" i="2"/>
  <c r="W18" i="1"/>
  <c r="E97" i="1"/>
  <c r="H9" i="2"/>
  <c r="H27" i="2"/>
  <c r="X58" i="1"/>
  <c r="E104" i="1"/>
  <c r="K24" i="2"/>
  <c r="L18" i="2"/>
  <c r="E99" i="1"/>
  <c r="R89" i="1"/>
  <c r="X89" i="1"/>
  <c r="X9" i="1"/>
  <c r="X78" i="1"/>
  <c r="X19" i="1"/>
  <c r="E98" i="1"/>
  <c r="L3" i="2"/>
  <c r="X41" i="1"/>
  <c r="K15" i="2"/>
  <c r="J15" i="2"/>
  <c r="J27" i="2"/>
  <c r="X14" i="1"/>
  <c r="E103" i="1"/>
  <c r="X21" i="1"/>
  <c r="E100" i="1"/>
  <c r="N3" i="2"/>
  <c r="N27" i="2"/>
  <c r="F27" i="2"/>
  <c r="Q14" i="2"/>
  <c r="P9" i="2"/>
  <c r="P3" i="2"/>
  <c r="Q22" i="2"/>
  <c r="Q7" i="2"/>
  <c r="O6" i="2"/>
  <c r="P6" i="2"/>
  <c r="Q6" i="2"/>
  <c r="L12" i="2"/>
  <c r="K27" i="2"/>
  <c r="O9" i="2"/>
  <c r="Q9" i="2"/>
  <c r="Q10" i="2"/>
  <c r="Q25" i="2"/>
  <c r="O24" i="2"/>
  <c r="P24" i="2"/>
  <c r="Q24" i="2"/>
  <c r="E95" i="1"/>
  <c r="C27" i="2"/>
  <c r="L21" i="2"/>
  <c r="X91" i="1"/>
  <c r="Q4" i="2"/>
  <c r="O3" i="2"/>
  <c r="I96" i="1"/>
  <c r="L27" i="2"/>
  <c r="E106" i="1"/>
  <c r="I95" i="1"/>
  <c r="J95" i="1"/>
  <c r="P27" i="2"/>
  <c r="Q3" i="2"/>
  <c r="Q19" i="2"/>
  <c r="O18" i="2"/>
  <c r="Q18" i="2"/>
  <c r="Q13" i="2"/>
  <c r="J96" i="1"/>
  <c r="O27" i="2"/>
  <c r="Q27" i="2"/>
  <c r="R3" i="2"/>
  <c r="R15" i="2"/>
  <c r="R6" i="2"/>
  <c r="R9" i="2"/>
  <c r="R21" i="2"/>
  <c r="R24" i="2"/>
  <c r="R12" i="2"/>
  <c r="R18" i="2"/>
  <c r="R27" i="2"/>
  <c r="AC6" i="4"/>
  <c r="AD11" i="4"/>
  <c r="AD9" i="4"/>
  <c r="R15" i="4"/>
  <c r="AC7" i="4"/>
  <c r="L15" i="4"/>
  <c r="O15" i="4"/>
  <c r="I15" i="4"/>
  <c r="AC8" i="4"/>
  <c r="AD14" i="4"/>
  <c r="AD5" i="4"/>
  <c r="AC11" i="4"/>
  <c r="AC14" i="4"/>
  <c r="F15" i="4"/>
  <c r="AD10" i="4"/>
  <c r="AC13" i="4"/>
  <c r="AC5" i="4"/>
  <c r="AD13" i="4"/>
  <c r="AC9" i="4"/>
  <c r="AC12" i="4"/>
  <c r="AC4" i="4"/>
  <c r="AD6" i="4"/>
  <c r="B15" i="4"/>
  <c r="AC10" i="4"/>
  <c r="AD12" i="4"/>
  <c r="AD7" i="4"/>
  <c r="T3" i="4"/>
  <c r="AC3" i="4"/>
  <c r="AD8" i="4"/>
  <c r="AE10" i="4"/>
  <c r="W10" i="4"/>
  <c r="K15" i="4"/>
  <c r="H15" i="4"/>
  <c r="AD4" i="4"/>
  <c r="Q15" i="4"/>
  <c r="C15" i="4"/>
  <c r="U15" i="4"/>
  <c r="AD15" i="4"/>
  <c r="U3" i="4"/>
  <c r="AD3" i="4"/>
  <c r="N15" i="4"/>
  <c r="W14" i="4"/>
  <c r="AE14" i="4"/>
  <c r="AE9" i="4"/>
  <c r="W9" i="4"/>
  <c r="W5" i="4"/>
  <c r="T15" i="4"/>
  <c r="AC15" i="4"/>
  <c r="AE5" i="4"/>
  <c r="W6" i="4"/>
  <c r="AE6" i="4"/>
  <c r="AE4" i="4"/>
  <c r="W4" i="4"/>
  <c r="AE7" i="4"/>
  <c r="W7" i="4"/>
  <c r="V3" i="4"/>
  <c r="AE8" i="4"/>
  <c r="W8" i="4"/>
  <c r="AE12" i="4"/>
  <c r="W12" i="4"/>
  <c r="AE13" i="4"/>
  <c r="W13" i="4"/>
  <c r="AE11" i="4"/>
  <c r="W11" i="4"/>
  <c r="W15" i="4"/>
  <c r="AE15" i="4"/>
  <c r="W3" i="4"/>
  <c r="AE3" i="4"/>
</calcChain>
</file>

<file path=xl/sharedStrings.xml><?xml version="1.0" encoding="utf-8"?>
<sst xmlns="http://schemas.openxmlformats.org/spreadsheetml/2006/main" count="642" uniqueCount="373">
  <si>
    <t xml:space="preserve">Fixed-term personnel specifically hired for the project </t>
  </si>
  <si>
    <t>Scientific instrumentation and technological equipment, software licenses and patent</t>
  </si>
  <si>
    <t xml:space="preserve">Open Access, Transnational Access, FAIR principle implementation </t>
  </si>
  <si>
    <t>Civil infrastructures and related systems</t>
  </si>
  <si>
    <t>Indirect costs, including running costs</t>
  </si>
  <si>
    <t xml:space="preserve">Training activities </t>
  </si>
  <si>
    <t>TOTAL</t>
  </si>
  <si>
    <t>WP</t>
  </si>
  <si>
    <t>Activity</t>
  </si>
  <si>
    <t>OU</t>
  </si>
  <si>
    <t>net cost</t>
  </si>
  <si>
    <t>VAT</t>
  </si>
  <si>
    <t>description with an estimation of number of personnel divided by rank/profile and their person months consistent with cost</t>
  </si>
  <si>
    <t>description with an estimation of major items</t>
  </si>
  <si>
    <t>WP1</t>
  </si>
  <si>
    <t>A1.1</t>
  </si>
  <si>
    <t>CNR-IOM</t>
  </si>
  <si>
    <t>A1.2</t>
  </si>
  <si>
    <t>A1.3</t>
  </si>
  <si>
    <t>Data management plan</t>
  </si>
  <si>
    <t>AREA</t>
  </si>
  <si>
    <t>3 PM of a project manager (TD tecnologo 3 livello)</t>
  </si>
  <si>
    <t xml:space="preserve">travel </t>
  </si>
  <si>
    <t>A1.4</t>
  </si>
  <si>
    <t>6 PM of a project manager (TD tecnologo 3 livello)</t>
  </si>
  <si>
    <t>travel</t>
  </si>
  <si>
    <t>A1.5</t>
  </si>
  <si>
    <t>NFFA-DI within the European and International landscape of Ris</t>
  </si>
  <si>
    <t>A1.6</t>
  </si>
  <si>
    <t>CNR-IMM@CT</t>
  </si>
  <si>
    <t xml:space="preserve">1 III liv (Tec) unit, for about half of duration of the project (3 years/men total) </t>
  </si>
  <si>
    <t>WP2</t>
  </si>
  <si>
    <t>A2.1</t>
  </si>
  <si>
    <t>Setup of the new integrated access scheme and interoperability protocols</t>
  </si>
  <si>
    <t>A2.2</t>
  </si>
  <si>
    <t>Development of a new real-time monitoring scheme for integrated access provision</t>
  </si>
  <si>
    <t>A2.3</t>
  </si>
  <si>
    <t>UNIMI</t>
  </si>
  <si>
    <t>Minor peripherals, accessories, components and consumables</t>
  </si>
  <si>
    <t>A2.4</t>
  </si>
  <si>
    <t>Setup and coordination of a Technical Liaison Network (TLNet)</t>
  </si>
  <si>
    <t>missioni</t>
  </si>
  <si>
    <t>A2.5</t>
  </si>
  <si>
    <t>Setup of the scientific evaluation of users’ proposals</t>
  </si>
  <si>
    <t>CNR-IFN@MI</t>
  </si>
  <si>
    <t>Personel costs, discrepancy between standard and tabulated costs for personnel, travel, small consumables</t>
  </si>
  <si>
    <t>WP3</t>
  </si>
  <si>
    <t>A3.1</t>
  </si>
  <si>
    <t>8 PM of a data engineering (TD tecnologo 3 livello)</t>
  </si>
  <si>
    <t>upgrade Orfeo data Center</t>
  </si>
  <si>
    <t>running costs, consumables</t>
  </si>
  <si>
    <t>A3.2</t>
  </si>
  <si>
    <t>Advanced management of Research Data and Data services (including remote data analysis services)</t>
  </si>
  <si>
    <t>A3.3</t>
  </si>
  <si>
    <t>Fair-by-design implementation. Modules for experimental facilities at CNR-IOM</t>
  </si>
  <si>
    <t>consumabili, missioni</t>
  </si>
  <si>
    <t>A3.4</t>
  </si>
  <si>
    <t>Fair-by-design implementation. Modules for experimental facilities at CNR-IFN@MI</t>
  </si>
  <si>
    <t>A3.5</t>
  </si>
  <si>
    <t>CNR-IFN@TN</t>
  </si>
  <si>
    <t>4 person months of a researcher (III livello)  to analyze equipment information to support the definition of metadata and FAIR software and coordinate with other OUs on WP3</t>
  </si>
  <si>
    <t>servers for data storage and deployment of webapps for cleanroom management and accessing data (30k€ + 6.6k€VAT) ; software and service for FAIR software development for cleanroom equipment (35k€+7.7k€ VAT))</t>
  </si>
  <si>
    <t>A3.6</t>
  </si>
  <si>
    <t>Fair-by-design implementation. Modules for experimental facilities at CNR-IMM@BO</t>
  </si>
  <si>
    <t>CNR-IMM@BO</t>
  </si>
  <si>
    <t>2 person month to sketch a first meta-data schema for each equipment; to define the procedure to colect metadata on selected stations and to deploy the interoperable interface</t>
  </si>
  <si>
    <t>consumables, travel</t>
  </si>
  <si>
    <t>A3.7</t>
  </si>
  <si>
    <t>Fair-by-design implementation. Modules for experimental facilities at CNR-IMM@CT</t>
  </si>
  <si>
    <t>1Y for 1 III liv (Tec) unit</t>
  </si>
  <si>
    <t>A3.8</t>
  </si>
  <si>
    <t>Fair-by-design implementation. Modules for experimental facilities at CNR-ISM</t>
  </si>
  <si>
    <t>CNR-ISM</t>
  </si>
  <si>
    <t>1 month TD</t>
  </si>
  <si>
    <t>A3.9</t>
  </si>
  <si>
    <t>Fair-by-design implementation. Modules for experimental facilities at CNR-NANOTEC</t>
  </si>
  <si>
    <t>CNR-NANOTEC</t>
  </si>
  <si>
    <t>The activity of the fixed term personnel,  specifically hired for the project, will be focused on the implementation of fair-by design software and hardware on the experimental facilities upgraded at CNR-NANOTEC.  The activity requests funding for 8 person months, as follows:  one researcher (CNR rank: level III)  for 2 months, one researcher (CNR rank: level III)  for 2 months, one researcher (CNR rank: level III)  for 2 months,  one technologist (CNR rank: level III)  for 2 months.</t>
  </si>
  <si>
    <t>A3.10</t>
  </si>
  <si>
    <t>Fair-by-design implementation. Modules for experimental facilities at CNR-SPIN</t>
  </si>
  <si>
    <t>CNR-SPIN</t>
  </si>
  <si>
    <t xml:space="preserve">2 month experimentalist TD III livello, 2 months laboratory technician </t>
  </si>
  <si>
    <t>items for the FAIR data upgrade</t>
  </si>
  <si>
    <t>Missions and consumables</t>
  </si>
  <si>
    <t>A3.11</t>
  </si>
  <si>
    <t>Fair-by-design implementation. Modules for experimental facilities at AREA</t>
  </si>
  <si>
    <t>A3.12</t>
  </si>
  <si>
    <t>POLIFAB</t>
  </si>
  <si>
    <t>4 person month of a technolgist (T2) in charge of FAIR-by-design implementation at POLIMI</t>
  </si>
  <si>
    <t>Data center for FAIR data management</t>
  </si>
  <si>
    <t>Upgrades of the data center room</t>
  </si>
  <si>
    <t>A3.13</t>
  </si>
  <si>
    <t>FAIR-by-design compliant data-acquisition systems upgrade</t>
  </si>
  <si>
    <t>WP4</t>
  </si>
  <si>
    <t>A4.1</t>
  </si>
  <si>
    <t>Identification of technical needs and synergies</t>
  </si>
  <si>
    <t>1 person month to define constant technical upgrade of the facilities and innovativel protocols to be implemented</t>
  </si>
  <si>
    <t>A4.2</t>
  </si>
  <si>
    <t>Coordination of the RI strengthening</t>
  </si>
  <si>
    <t xml:space="preserve">12 months at 20% FTE of one High-Qualification Technologist or fixed-term Researcher for coordinating the Upgrade activities related to installations 1,2,3 (with the role of Laboratory Manager) </t>
  </si>
  <si>
    <t>A4.3</t>
  </si>
  <si>
    <t>consumo, criogenici, adeguamento impianti, manutenzione straordinaria, adeguamento a costo tabellare</t>
  </si>
  <si>
    <t>A4.4</t>
  </si>
  <si>
    <t>A4.5</t>
  </si>
  <si>
    <t>A4.6</t>
  </si>
  <si>
    <t>2 person month to prepare the installation of the equipments, to test the equipment installed and to define the main processes</t>
  </si>
  <si>
    <t>expenditure for new gas lines, new connections to existing clean room utilities (vacuum, water, compressed air, refrigeration circuit,…) for the installation of new equipments, running costs</t>
  </si>
  <si>
    <t>A4.7</t>
  </si>
  <si>
    <t xml:space="preserve">consultants for interface API developments - upgrade local network connections for the UO allowing ultra-fast access to the machines - assuming 22% for both  </t>
  </si>
  <si>
    <t>A4.8</t>
  </si>
  <si>
    <t>optics, small diagnostic instruments, consumables, integration TD standard cost</t>
  </si>
  <si>
    <t>A4.9</t>
  </si>
  <si>
    <t>The activity of the fixed term personnel, specifically hired for the project, aims at preparing the experimental facilities of CNR-NANOTEC with the proper technological equipments for installation of the acquired upgrades. Also, the activity will concern the monitoring of installation and commissioning of the upgrades.  The activity requests funding for 14 person months, as follows:                                                                                    one researcher (CNR rank: level III)  for 3 months,           one researcher (CNR rank: level III)  for 3 months,          one researcher (CNR rank: level III)  for 4 months,                                                      one technologist (CNR rank: level III)  for 4 months.</t>
  </si>
  <si>
    <t>A4.10</t>
  </si>
  <si>
    <t>A4.11</t>
  </si>
  <si>
    <t>A4.12</t>
  </si>
  <si>
    <t>maintenance contracts; contribution to the upgrade (gas lines, antivibration platforms, e.m. field screening, etc) of spaces dedicated to new equipment; participation in conferences, travels to other nodes: 4000 € for 10 people (PI, RTDA, Technologist, 4 post-docs, 3 PhD); substrates, pure materials, reagents, process gas, spare parts for the commissioning phase</t>
  </si>
  <si>
    <t>A4.13</t>
  </si>
  <si>
    <t>12 months at 80% FTE of one High-Qualification Technologist or fixed-term Researcher for the development of Upgrade activities related to installations 1,2,3 (with the role of Laboratory Manager); 24 months at 100% FTE of one High-Qualification Research Technician</t>
  </si>
  <si>
    <t>Consumables, components and  fittings for UHV and high-purity gases ; optical components; pulsed solid-state optical source</t>
  </si>
  <si>
    <t>WP5</t>
  </si>
  <si>
    <t>A5.1</t>
  </si>
  <si>
    <t>Computer hardware, software licence</t>
  </si>
  <si>
    <t xml:space="preserve"> and consumables</t>
  </si>
  <si>
    <t>A5.2</t>
  </si>
  <si>
    <t>missioni e consumabili, ciorgenici</t>
  </si>
  <si>
    <t>A5.3</t>
  </si>
  <si>
    <t>A5.4</t>
  </si>
  <si>
    <t>A5.5</t>
  </si>
  <si>
    <t>2 person month to define the procedure for external access</t>
  </si>
  <si>
    <t>running costs strictly related to the commissioning of the upgrade, like consumables (wafers, process gases, chemicals, ..)</t>
  </si>
  <si>
    <t>A5.6</t>
  </si>
  <si>
    <t>The activity of the fixed term personnel,  specifically hired for the project, will be focused on the Commissioning of access for the CNR-IMM@CT UO.  The activity requests funding for 12 person months of one technologist (CNR rank: level III)</t>
  </si>
  <si>
    <t>A5.7</t>
  </si>
  <si>
    <t>2 months TD</t>
  </si>
  <si>
    <t>A5.8</t>
  </si>
  <si>
    <t>The fixed term personnel, specifically hired for the project, will work as local TLNet contact for the commissioning of integrated access activities. The activity requests funding for 2 person months, as:  one researcher (CNR rank: level III)  for 1 month,   one technologist (CNR rank: level III)  for 1 month.</t>
  </si>
  <si>
    <t>A5.9</t>
  </si>
  <si>
    <t>A5.10</t>
  </si>
  <si>
    <t>16 PM microscopist (TD tecnologo 3 livello)</t>
  </si>
  <si>
    <t>travel, dissemination</t>
  </si>
  <si>
    <t>A5.11</t>
  </si>
  <si>
    <t>upgrade of Polifab informatic infarstructure for users access</t>
  </si>
  <si>
    <t>A5.12</t>
  </si>
  <si>
    <t xml:space="preserve">12 months at 20% FTE of one High-Qualification Technologist or fixed-term Researcher Commissioning of access related to installations 1,2,3 (with the role of Laboratory Manager) </t>
  </si>
  <si>
    <t>WP6</t>
  </si>
  <si>
    <t>A6.1</t>
  </si>
  <si>
    <t>We plan to hire a fixed time development scientist at M6  for 24 months period.  The profile is a data engineer with a sound competence in the field of software engineering, high performance computing, development of data services  and data-centric-AI and MLOP.  He will work on activitiies 6.1 6.2 and 6.5</t>
  </si>
  <si>
    <t>A6.2</t>
  </si>
  <si>
    <t>Virtual Access Services for NFFA-DI user community</t>
  </si>
  <si>
    <t>A6.3</t>
  </si>
  <si>
    <t>A project  manager will  be involved in 6.3 and 6.4 activities for 6 month each The position requires a STEM background, at least 1 year of experience in Project Management or Technology Transfer and standing communication skills</t>
  </si>
  <si>
    <t>A6.4</t>
  </si>
  <si>
    <t>A6.5</t>
  </si>
  <si>
    <t>AI augmented experimental platform</t>
  </si>
  <si>
    <t>A6.6</t>
  </si>
  <si>
    <t>consumo informatica e missioni</t>
  </si>
  <si>
    <t>WP7</t>
  </si>
  <si>
    <t>A7.1</t>
  </si>
  <si>
    <t>Identification of synergies in the strengthening among nodes of competence programme</t>
  </si>
  <si>
    <t>Travels to other nodes for strenghtening the synergy</t>
  </si>
  <si>
    <t>A7.2</t>
  </si>
  <si>
    <t>Coordination of the RI post-commissioning strengthening of skills</t>
  </si>
  <si>
    <t>A7.3</t>
  </si>
  <si>
    <t>missioni, consumo, criogenici</t>
  </si>
  <si>
    <t>A7.4</t>
  </si>
  <si>
    <t>A7.5</t>
  </si>
  <si>
    <t>A7.6</t>
  </si>
  <si>
    <t>A7.7</t>
  </si>
  <si>
    <t xml:space="preserve">3 III liv. units, one (Res) dedicated to the Devices demonstrators activity, one (Res) dedicated to the  Digital characterization of new atomic centers with QT functionalities, one (Res) dedicated to the Nano-second Lifetime and nano-meter mapping of optically active centers activity for about the total duration of the project (7 years/men total) </t>
  </si>
  <si>
    <t>A7.8</t>
  </si>
  <si>
    <t>9 months TD</t>
  </si>
  <si>
    <t>A7.9</t>
  </si>
  <si>
    <t>The activity of the fixed term personnel, specifically hired for the project, aims at exploiting the upgraded MBE for growth of novel epitaxial grade metal-oxide semiconductors and the upgraded correlative microscopy facility to strengthen competences through ad-hoc in-house research preparing for the fully upgraded RI service. The activity requests funding for 12 person months, as follows:                                                                                      one esearcher (CNR rank: level III)  for 2 months,  one researcher (CNR rank: level III)  for 2 months,  one researcher (CNR rank: level III)  for 4 months,  one technologist (CNR rank: level III)  for 4 months.</t>
  </si>
  <si>
    <t>A7.10</t>
  </si>
  <si>
    <t>A7.11</t>
  </si>
  <si>
    <t>8 PM microscopist (TD tecnologo 3 livello)</t>
  </si>
  <si>
    <t>A7.12</t>
  </si>
  <si>
    <t>4 publications open -ccess from in-house research</t>
  </si>
  <si>
    <t>substrates, pure materials, reagents, process gas, spare parts for the upskill phase; contribution to the upgrade (gas lines, antivibration platforms, e.m. field screening, etc) of spaces dedicated to new equipment; participation in conferences, travels to other nodes during upskill: 2000 € for 10 people (PI, RTDA, Technologist, 4 post-docs, 3 PhD)</t>
  </si>
  <si>
    <t>A7.13</t>
  </si>
  <si>
    <t xml:space="preserve">12 months at 30% FTE of one fixed-term Researcher for support to Upskill activities related to installations 1,2,3; (with the role of Laboratory Manager) </t>
  </si>
  <si>
    <t>A7.14</t>
  </si>
  <si>
    <t>consumo, criogenici, missioni</t>
  </si>
  <si>
    <t>A7.15</t>
  </si>
  <si>
    <t>TD researcher for 5 months to work on fabroication of MEMS structure for in-situ characterization of nano-materials</t>
  </si>
  <si>
    <t>A7.16</t>
  </si>
  <si>
    <t xml:space="preserve">2 III liv researchers, for about half of duration of the project (3 years/men total) </t>
  </si>
  <si>
    <t>A7.17</t>
  </si>
  <si>
    <t xml:space="preserve">The activity of the fixed term personnel, specifically hired for the project, aims at exploratory methodological development for continuous upgrade of the RI through in-house research for fabrication of novel hybrid nanosystems and 3D imaging by high-throughput electron microscopy. The activity requests funding for 10 person months, as follows:  one researcher (CNR rank: level III)  for 5 months, one researcher (CNR rank: level III)  for 5 months.     </t>
  </si>
  <si>
    <t>A7.18</t>
  </si>
  <si>
    <t>Hardware and software for connecting data analysis with theory and computation</t>
  </si>
  <si>
    <t>A7.19</t>
  </si>
  <si>
    <t>Exploratory development of a 2D Spin Polarimeter (vacuum components, electronic instrumentation, etc.)</t>
  </si>
  <si>
    <t>A7.20</t>
  </si>
  <si>
    <t>WP8</t>
  </si>
  <si>
    <t>A8.1</t>
  </si>
  <si>
    <t>A8.2</t>
  </si>
  <si>
    <t>Training at CNR-IOM</t>
  </si>
  <si>
    <t>2 x borse di studio da 1 anno + una partecipazione al coso RITRAInPlus</t>
  </si>
  <si>
    <t>A8.3</t>
  </si>
  <si>
    <t>Training at CNR-IFN@MI</t>
  </si>
  <si>
    <t>A8.4</t>
  </si>
  <si>
    <t>Training at CNR-IFN@TN</t>
  </si>
  <si>
    <t>2 person months of a researcher (III livello), training of other users and young researches on the new installations and the whole technoogical platform processes</t>
  </si>
  <si>
    <t>two boursaries for 12 months each</t>
  </si>
  <si>
    <t>A8.5</t>
  </si>
  <si>
    <t>Training at CNR-IMM@BO</t>
  </si>
  <si>
    <t>1 month of TD researcher to participate to the network among all nodes for sharing of competences on the upgraded RI and 1 month of TD researcher to participate to the FAIR data trainin g program</t>
  </si>
  <si>
    <t>1 internship post MSc to work on FAIR-data training program</t>
  </si>
  <si>
    <t>A8.6</t>
  </si>
  <si>
    <t>Training at CNR-IMM@CT</t>
  </si>
  <si>
    <t xml:space="preserve">2 CNR 24M boursaries (borsa di formazione) </t>
  </si>
  <si>
    <t>A8.7</t>
  </si>
  <si>
    <t>Training at CNR-ISM</t>
  </si>
  <si>
    <t>1 bursary</t>
  </si>
  <si>
    <t>A8.8</t>
  </si>
  <si>
    <t>Training at CNR-NANOTEC</t>
  </si>
  <si>
    <t>The activity of the fixed term personnel, specifically hired for the project, aims at training users and young researchers, finalized to competent usage of the upgraded RI to maximize quality of science outcome. The training will be focused on MBE growth and advanced correlative microscopy. Furthermore, the activity includes a FAIR-data training programme for staff aiming at qualified data stewardship. The activity requests funding for 2 person months, as follows:  one researcher (CNR rank: level III)  for 1 month,  one technologist (CNR rank: level III)  for 1 month.</t>
  </si>
  <si>
    <t>A8.9</t>
  </si>
  <si>
    <t>Training at CNR-SPIN</t>
  </si>
  <si>
    <t>2 + 2 months from two experimentalist TD III livello, 2 months theorist  TD III livello.</t>
  </si>
  <si>
    <t>Three 14,5 K€/year post MSc bursary on FAIR data</t>
  </si>
  <si>
    <t>A8.10</t>
  </si>
  <si>
    <t>Training at AREA</t>
  </si>
  <si>
    <t>4 borse di studio annuali 18250 + 6 borse per tesi di laurea magistrale da 4500 l'una</t>
  </si>
  <si>
    <t>A8.11</t>
  </si>
  <si>
    <t>Participation to schools by PhD students</t>
  </si>
  <si>
    <t xml:space="preserve">Participation in the RITRAIN-Plus master by the cleanroom manager of Polifab; 72 MM corresponding to the first two years of PhD1-2-3 involved in activities related to upgrade, in-house research and exploratory development. The third year of the PhD will be co-finanbced by POLIMI  </t>
  </si>
  <si>
    <t>UniMI</t>
  </si>
  <si>
    <t>Management training course + 2 PhD bursuaries for 2 years (3rd year co-funded)</t>
  </si>
  <si>
    <t>chiuso</t>
  </si>
  <si>
    <t>nord</t>
  </si>
  <si>
    <t>sud</t>
  </si>
  <si>
    <t>%</t>
  </si>
  <si>
    <t>TOTAL SHARE</t>
  </si>
  <si>
    <t>Share</t>
  </si>
  <si>
    <t>net+VAT</t>
  </si>
  <si>
    <t>Centro/Nord</t>
  </si>
  <si>
    <t>Sud</t>
  </si>
  <si>
    <t>UO</t>
  </si>
  <si>
    <t>net cost+IVA</t>
  </si>
  <si>
    <t>CNR</t>
  </si>
  <si>
    <t>Hardware for the implementation of fair-by design protocol on the experimental facilities upgraded at CNR-IFN@MI.
Equipment for the laboratory network and communication servers for instruments and implementation of a storage server</t>
  </si>
  <si>
    <t>Consumables connected with the commissioning of the upgrades.
Other running costs connected with the commissioning of the upgraded ultrafast spectroscopy beamlines.
Maintenance of laboratory equipment serving the spectrosocpy facility (chillers, uninterruptible power supply (UPS) systems, air conditioning and filtration systems).
Travel and dissemination costs.</t>
  </si>
  <si>
    <t>3D profiling tool with atomic resolution</t>
  </si>
  <si>
    <t>6 person months of a researcher (III livello) for the commissioning of the integrated access activities, coordinating with the other nodes</t>
  </si>
  <si>
    <t>9 person months of a researcher (III livello) and 6 months of a second researcher (III livello). Integration of the new instruments in the current processes, mix and match optical-EBL lithography, development of specific methodologies for different technological platforms available in the upgraded facility</t>
  </si>
  <si>
    <t>UHV shuttles and docking stations 130keur + VAT
Raman upgrade 220keur + VAT
Upgrade SEM software 60keur + VAT</t>
  </si>
  <si>
    <t>1.5 person-month of a fixed-term researcher hired for the project. The activity will be focused on the setup of the scientific evaluation of users’ proposals.</t>
  </si>
  <si>
    <t>1.5 person-month of a fixed-term researcher hired for the project. The activity will be focused on the implementation of fair-by design software and hardware on the experimental facilities upgraded at CNR-IFN@MI.</t>
  </si>
  <si>
    <t>2 person-month of a fixed-term researcher hired for the project. The activity will concern the monitoring of installation and commissioning of the upgrades.</t>
  </si>
  <si>
    <t>1.5 person-month of a fixed-term researcher hired for the project. The fixed term personnel will work as the local contact for the commissioning of integrated access activities.</t>
  </si>
  <si>
    <t>4 person-month of a fixed-term researcher hired for the project. The activity aims at exploiting the upgraded beamlines for ultrafast spectroscopy to strengthen competences through ad-hoc in-house research preparing for the fully upgraded RI service.</t>
  </si>
  <si>
    <t>1.5 person-month of a fixed-term researcher hired for the project. The activity aims at training users and young researchers, for the usage of the upgraded RI to maximize the quality of scientific outcome. The training will be focused on ultrafast XUV spectroscopy. The activity includes the realization of 3 training webinars.</t>
  </si>
  <si>
    <t>Consumables for the commissioning</t>
  </si>
  <si>
    <t>1 medium size servers (256 cores, 8Gb REM per core, 16Tb total storage in total for the 3 servers) for supporting tool development and data exchange in the 3 joined theoretical/experimental in house researches.  (almeno 1 server è necessario)</t>
  </si>
  <si>
    <t>Productivity Enhancements for 3D profiling tool</t>
  </si>
  <si>
    <t xml:space="preserve">1 III liv units researchers (Tec.) dedicated to assist the upgrade installations according the FAIR principle implementation for the total duration of the project (2 years/men total) </t>
  </si>
  <si>
    <t>Realization of the vibration insolation other laboratory adaptations for the 3D profiling tool.  A specific budget   is required for the lab in consideration of: (i) the appropriate amount of space required to accommodate the whole instrumentation, (ii) external vibrations minimization and (iii) supplying of air compressed and water cooling system. Assuming 22% VAT</t>
  </si>
  <si>
    <t xml:space="preserve">travel
</t>
  </si>
  <si>
    <t>Upgrade of the three existing beamlines for ultrafast THz spectroscopy, HHG spectroscopy in solids and XUV transient absorption/reflectivity with the acquisition of two dedicated laser sources (amplified TI:sapp, 1 kHz, few mJ, &lt;100 fs) so that all the beamlines will be independent.
All the equipment for installation and commissioning of the upgrade is included.</t>
  </si>
  <si>
    <t xml:space="preserve">
                                                                                                                                                                                                         Upgrade of correlative microscopy facility via high-throughput scanning electron microscopy Multi-Beam SEM (mSEM), with highest-ever acquisition speed at nanometer resolution (&lt;10nm). The upgrade includes an automated system for serial sectioning enabling 3D imaging of hard and soft materials by means of mSEM. The upgrade of the correlative microscopy facility includes also an upgrade for the existing single beam SEM consisting of a software and hardware upgrade needed to make it compatible with the existing correlative microscopy platform and an ultramicrotome (serial block-face) integrated into the single beam SEM enabling 3D imaging of hard and soft materials. The existing Cross Beam (Focused Ion Beam/SEM) will be also upgraded (software and hardware) in order to extent its functionality toward material tomography. 
Furthermore, the technological equipment for upgrade installation and commissioning is included.</t>
  </si>
  <si>
    <t>consumables and other running costs</t>
  </si>
  <si>
    <t>Management, running and access costs of the facility, consumables, manteinance, travel, dissemination</t>
  </si>
  <si>
    <t>nanopatterning (e.g. via EBL) , and the definition of nanostructures on devices, requires to be able, then, to complete the process with flexible etching setup suited to items of different dimensions; for this reason, highly performing and flexible dry etching system is planned; main assets to be acquired (VAT excluded):
dry etching setup (850k€ +VAT)</t>
  </si>
  <si>
    <t>Management, running and access costs of the facility, consumables, manteinance,  travel, dissemination</t>
  </si>
  <si>
    <t xml:space="preserve">28 mm of the technologists (T1-T3) for the procurement, installation andf copmmisisoning of the new equipment in WP4 </t>
  </si>
  <si>
    <t>Cluster tool for material synthesis on 6" ( PLD, ALD, CVD); Vacuum suitcases for sample transfer to Elettra and IFN beamlines;UHV systems for MBE on small samples, XPS, ARPES;  RF station (probe-station, VNA); Time resolved polarization microscope (Micro-MOKE, FE domains dynamics, GHz-THz range);</t>
  </si>
  <si>
    <t>2 MM of technolgists T3 for commissioning of access to Polifab</t>
  </si>
  <si>
    <t>10 MM of Technologist T1  for identification of synergies in the strenghtening among nodes of comptence program</t>
  </si>
  <si>
    <t xml:space="preserve">18 MM of technolgists (T1-T3) for upskill and post-commissioning researchg  </t>
  </si>
  <si>
    <t xml:space="preserve">6 MM of technolgist T2 for exploratory developments  </t>
  </si>
  <si>
    <t xml:space="preserve">4 MM (2 MM of technologists T1 and T3)  for the set up and implementation of training programs </t>
  </si>
  <si>
    <t xml:space="preserve">6 person months of two researchers (III livello), dedicated to the preparation, installation, acceptance and commissioning of the dry etching system, running of tests for the validation of the ‘standard’ methodologies and production of reports </t>
  </si>
  <si>
    <t>laser system (10 W, repetition rate 200KHz, time resolution &lt; 200 fs).</t>
  </si>
  <si>
    <t>Transfer UHV system connecting different UHV chambers, including pumps and manipulators for transfer from/to the chambers (250k+VAT); 
X-ray 4-circle diffractometer for epitaxial thin films , including x-ray source and area detector (375k+VAT); 
PLD System for deposition on 2" substrates, including laser, laser beamline and RHEED. Base vacuum in the low 10^-9 range. The system will be connected to a UHV transfer system (650k+VAT)
UHV chamber for metals deposition (120K+VAT)
UHV chamber for evaporation of organic materials (120K+VAT) 
Glove box (60K+VAT)</t>
  </si>
  <si>
    <t>Laboratory setup inside an existing room currently emploied for a differnt use and not equipped as a lab.</t>
  </si>
  <si>
    <t>running costs</t>
  </si>
  <si>
    <t>4 months TD III livello</t>
  </si>
  <si>
    <t>Missions</t>
  </si>
  <si>
    <t>2 + 5 months, respectively, from two experimentalist TD II livello, overall 12 months from the theorists TD III livello</t>
  </si>
  <si>
    <t xml:space="preserve">Missions </t>
  </si>
  <si>
    <t>Wafer bonder (6 inches)</t>
  </si>
  <si>
    <t>8 months each from two TD III livello; 16 and 17 months from the laboratory and the management technician, respectively.</t>
  </si>
  <si>
    <t>1 month each from the theorist TD III livello and from the management technician</t>
  </si>
  <si>
    <t>6+9 months, respectively, from two experimentalists TD III livello; 9 months theorist TD III livello; 6 months from the laboratory technician, 6 month from management technician.</t>
  </si>
  <si>
    <t xml:space="preserve">Local ISO7 environment around upgraded apparatus </t>
  </si>
  <si>
    <t>23.250,00 €
12 months at 50% FTE of one High-qualification Research Technologist or fixed-term Researcher for Commissioning of access, Upskill and Exploratory related activities on installations 1,2,3
93.000,00 €
24 months at 100% FTE one High-qualification Research Technologist or fixed-term Researcher for the development of Exploratory Development activities related to installation 4</t>
  </si>
  <si>
    <t>TOTAL ORIGINAL PROPOSAL</t>
  </si>
  <si>
    <t>original proposal</t>
  </si>
  <si>
    <t>negotiated</t>
  </si>
  <si>
    <t>cut</t>
  </si>
  <si>
    <t>REDUCTION AFTER NEGOTIATION</t>
  </si>
  <si>
    <t>INSTRUMENTATION (WP4 + upskill in WP7)</t>
  </si>
  <si>
    <t>Total south</t>
  </si>
  <si>
    <t>Total center/nord</t>
  </si>
  <si>
    <t>SOUTH</t>
  </si>
  <si>
    <t>CENTER/NORTH</t>
  </si>
  <si>
    <t>TR soft XPS, Upgrade Cluster MASK, microfocus LE HE, LEEM/PEEM set up, Cryogen Free cryomagnet, transfer systems and shuttles</t>
  </si>
  <si>
    <t>1 RIC III livello for two years for the development and enhancement of highly scalable, optimized codes and workflows towards an ecosystem of HPC applications aimed at assisting and supporting experimental infrastructures and research</t>
  </si>
  <si>
    <t>2 x RIC III livello 12 PM</t>
  </si>
  <si>
    <t xml:space="preserve">4 X RIC/TECNOL III livello 12 PM; 2 x CTER 24 PM </t>
  </si>
  <si>
    <t>1 x 30% TECNOL III livello for 2 years</t>
  </si>
  <si>
    <t>1 x TECNOL III livello 12 PM</t>
  </si>
  <si>
    <t>1 x FUNZ IV livello 24 PM</t>
  </si>
  <si>
    <t>IM Dirigente tecnologo 82keur 24 PM</t>
  </si>
  <si>
    <t>1 x TECNOL III livello 24 PM</t>
  </si>
  <si>
    <t>1 x 40% TECNOL III livello for 2 years</t>
  </si>
  <si>
    <t>24 PM microscopist (TD ricercatore III livello) +  18 PM technologist (TD tecnologo III livello)</t>
  </si>
  <si>
    <t>Upgrade TEM and TEM sample preparation lab</t>
  </si>
  <si>
    <t>% personnel costs</t>
  </si>
  <si>
    <t>Setup and Maintenance of the Single Entry point and Digital Catalogue</t>
  </si>
  <si>
    <t>laser equipment 50keur + VAT
fast-electronics for STM/STS 33keur + VAT</t>
  </si>
  <si>
    <t xml:space="preserve">4 X RIC/TECNOL III livello 12 PM </t>
  </si>
  <si>
    <r>
      <t>TD researcher for</t>
    </r>
    <r>
      <rPr>
        <sz val="12"/>
        <color rgb="FFFF0000"/>
        <rFont val="Calibri (Body)"/>
      </rPr>
      <t xml:space="preserve"> 9</t>
    </r>
    <r>
      <rPr>
        <sz val="12"/>
        <color theme="1"/>
        <rFont val="Calibri"/>
        <family val="2"/>
        <scheme val="minor"/>
      </rPr>
      <t xml:space="preserve"> months  to work on the development of processes for deposition of nano-materials</t>
    </r>
  </si>
  <si>
    <t>sensori, strumentazione e servizi esterni per software 30+250</t>
  </si>
  <si>
    <t>Implementation of the Upgrade, procurement and tender decisions, progress of the update process</t>
  </si>
  <si>
    <t>Day-by-day monitoring, reporting, guidance to the OUs and WP leaders, interaction with MUR</t>
  </si>
  <si>
    <t>Organizational Model of NFFA-DI suitable for ensuring sustainable long-term operation</t>
  </si>
  <si>
    <t>Monitoring of scientific outcomes of user access</t>
  </si>
  <si>
    <t>Set-up and maintenance of the Single Entry Point (SEP) and Digital Catalogue</t>
  </si>
  <si>
    <t>The FAIR Data Division (FAIR-DD)</t>
  </si>
  <si>
    <t>Fair-by-design implementation. Modules for nanofabrication processes at CNR-IFN@TN</t>
  </si>
  <si>
    <t>Fair-by-design implementation. Modules for experimental facilities at POLIMI</t>
  </si>
  <si>
    <t>Fair-by-design implementation. Modules for experimental facilities at UNIMI</t>
  </si>
  <si>
    <t>Upgrading of CNR-IOM on installations 2-3 for digital growth, multiscale analytics of 1D/ 2D systems</t>
  </si>
  <si>
    <t>Upgrading of CNR-IFN@MI on installation 3 for advanced ultrafast time-resolved spectroscopy</t>
  </si>
  <si>
    <t>Upgrading of CNR-IFN-TN on installation 1 for um-nm-fabrication and fast prototyping</t>
  </si>
  <si>
    <t>Upgrading of IMM-BO on installation 1/2/5 for research on advanced nanoscience and nanotechnology</t>
  </si>
  <si>
    <t>Upgrading of CNR-IMM@CT for research on INSTALLATION 1,2,3,4 for 3D elemental profiling, SEM and TEM</t>
  </si>
  <si>
    <t>Upgrading of CNR-ISM on installation 3 for high rep. rate u.fast transient absorption spectroscopy</t>
  </si>
  <si>
    <t>Upgrading of CNR-NANOTEC for research on Advanced Correlative Microscopy (installation 3)</t>
  </si>
  <si>
    <t>Upgrading of CNR-SPIN for research on epitaxy and heterostructures of nanomaterials</t>
  </si>
  <si>
    <t>Upgrading of AREA on installation 1/3/5 for materials analysis across the full TRL scale</t>
  </si>
  <si>
    <t>Upgrading of Polifab-POLIMI on installations 2-3-5 for “wafer-scale” research on advanced materials</t>
  </si>
  <si>
    <t>Upgrade of UniMI NFFA-DI node for fabrication and analysis of magnetic/plasmonic nano-materials</t>
  </si>
  <si>
    <t>Commissioning of access to the upgrades and community building</t>
  </si>
  <si>
    <t>Commissioning of access to CNR-IOM for digital growth and multiscale analytics of 1D/2D systems</t>
  </si>
  <si>
    <t>Commissioning of access to IFN@MI in installation 3 (time-resolved spectroscopy of extended systems)</t>
  </si>
  <si>
    <t>Commissioning of access to IFN@TN for micro-nano-fabrication, fast prototyping/integrated photonics</t>
  </si>
  <si>
    <t>Commissioning of access to CNR-IMM@BO for research on advanced nanoscience and nanotechnology</t>
  </si>
  <si>
    <t>Commissioning of access and community building at CNR-IMM@CT for Installations 1/3/5</t>
  </si>
  <si>
    <t>Commissioning of access to CNR-ISM for high rep. rate ultrafast transient absorption spectroscopy</t>
  </si>
  <si>
    <t>Commissioning of access to CNR-NANOTEC for research on MBE and Advanced Correlative Microscopy</t>
  </si>
  <si>
    <t>Commissioning of access to CNR-SPIN for research on epitaxy and heterostructures of nanomaterials</t>
  </si>
  <si>
    <t>Commissioning of access to AREA for materials analysis across the full TRL scale</t>
  </si>
  <si>
    <t>Commissioning of access to PoliFAB for “wafer-scale” research on advanced materials</t>
  </si>
  <si>
    <t>Commissioning of access to UniMI for fabrication and analysis of magnetic/plasmonic nano-materials</t>
  </si>
  <si>
    <t>Innovative procedure for interactive remote access</t>
  </si>
  <si>
    <t>Intellectual Property &amp; Marketing (IP&amp;M) Helpdesk for NFFA-DI community</t>
  </si>
  <si>
    <t>Business development</t>
  </si>
  <si>
    <t>In-silico experimental platform</t>
  </si>
  <si>
    <t>Upskill and post-upgrade commissioning research of CNR-IOM: digital growth and multiscale analytics</t>
  </si>
  <si>
    <t>Upskill and post-upgrade commissioning research at CNR-IFN@MI for advanced ultrafast spectroscopy</t>
  </si>
  <si>
    <t>Upskill and post-upgrade commissioning research of CNR-IFN-TN for devices and prototyping</t>
  </si>
  <si>
    <t>Upskill and post-commissioning research of IMM-BO for advanced nanoscience and nanotechnology</t>
  </si>
  <si>
    <t>Upskill and post-commissioning research of CNR-IMM@CT on nano science prototyping</t>
  </si>
  <si>
    <t>Upskill and post-commissioning research of CNR-ISM for ultrafast transient absorption spectroscopy</t>
  </si>
  <si>
    <t>Upskill and post-commissioning research of CNR-NANOTEC on Advanced Correlative Microscopy</t>
  </si>
  <si>
    <t>Upskill and post-upgrade commissioning of CNR-SPIN for research on films and heterostructures</t>
  </si>
  <si>
    <t>Upskill and post-commissioning research at AREA for materials analysis across the full TRL scale</t>
  </si>
  <si>
    <t>Upskill and post-commissioning research of Polifab-POLIMI on “wafer-scale” compatible samples</t>
  </si>
  <si>
    <t>Upskill and post-commissioning research of UNIMI for research on magnetic/plasmonic nanomaterials</t>
  </si>
  <si>
    <t>Exploratory methodological/instrumental developments at CNR-IOM for continuous upgrade of the RI</t>
  </si>
  <si>
    <t>Exploratory methodological/instrumental developments at IMM-BO for continuous upgrade of the RI</t>
  </si>
  <si>
    <t>Exploratory methodological/instrumental developments at IMM-CT for the continuous upgrade of the RI</t>
  </si>
  <si>
    <t>Exploratory methodological/instrumental developments at CNR-NANOTEC for continuous upgrade of the RI</t>
  </si>
  <si>
    <t>Exploratory methodological/instrumental developments at CNR-SPIN for continuous upgrade of the RI</t>
  </si>
  <si>
    <t>Exploratory methodological/instrumental developments at POLIMI for continuous upgrade of the RI</t>
  </si>
  <si>
    <t>Exploratory methodological/instrumental developments at UNIMI for continuous upgrade of the RI</t>
  </si>
  <si>
    <t>Training at POLIMI</t>
  </si>
  <si>
    <t>Training at UNIMI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</si>
</sst>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1];[Red]\-#,##0.00\ [$€-1]"/>
    <numFmt numFmtId="166" formatCode="#,##0.00\ _€"/>
  </numFmts>
  <fonts count="16">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b/>
      <sz val="12"/>
      <color theme="1"/>
      <name val="Calibri"/>
      <family val="2"/>
      <scheme val="minor"/>
    </font>
    <font>
      <sz val="12"/>
      <name val="Calibri"/>
      <family val="2"/>
      <scheme val="minor"/>
    </font>
    <font>
      <sz val="11"/>
      <name val="Calibri"/>
      <family val="2"/>
      <scheme val="minor"/>
    </font>
    <font>
      <sz val="12"/>
      <color rgb="FF000000"/>
      <name val="Calibri"/>
      <family val="2"/>
      <scheme val="minor"/>
    </font>
    <font>
      <sz val="12"/>
      <color rgb="FFFF0000"/>
      <name val="Calibri (Body)"/>
    </font>
  </fonts>
  <fills count="10">
    <fill>
      <patternFill patternType="none"/>
    </fill>
    <fill>
      <patternFill patternType="gray125"/>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8" tint="0.79998168889431442"/>
        <bgColor theme="8" tint="0.79998168889431442"/>
      </patternFill>
    </fill>
    <fill>
      <patternFill patternType="solid">
        <fgColor rgb="FFDDEBF6"/>
        <bgColor indexed="64"/>
      </patternFill>
    </fill>
    <fill>
      <patternFill patternType="solid">
        <fgColor rgb="FFE2EFD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theme="8" tint="0.79998168889431442"/>
      </patternFill>
    </fill>
  </fills>
  <borders count="108">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double">
        <color auto="1"/>
      </right>
      <top/>
      <bottom style="double">
        <color auto="1"/>
      </bottom>
      <diagonal/>
    </border>
    <border>
      <left style="thin">
        <color auto="1"/>
      </left>
      <right style="double">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double">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double">
        <color auto="1"/>
      </top>
      <bottom/>
      <diagonal/>
    </border>
    <border>
      <left/>
      <right style="medium">
        <color auto="1"/>
      </right>
      <top style="double">
        <color auto="1"/>
      </top>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bottom style="double">
        <color auto="1"/>
      </bottom>
      <diagonal/>
    </border>
    <border>
      <left style="medium">
        <color auto="1"/>
      </left>
      <right style="medium">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double">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thin">
        <color auto="1"/>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double">
        <color auto="1"/>
      </left>
      <right style="thin">
        <color auto="1"/>
      </right>
      <top/>
      <bottom/>
      <diagonal/>
    </border>
    <border>
      <left style="thin">
        <color auto="1"/>
      </left>
      <right style="thin">
        <color auto="1"/>
      </right>
      <top/>
      <bottom/>
      <diagonal/>
    </border>
    <border>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medium">
        <color rgb="FF000000"/>
      </bottom>
      <diagonal/>
    </border>
    <border>
      <left style="thin">
        <color auto="1"/>
      </left>
      <right style="thin">
        <color indexed="64"/>
      </right>
      <top style="thin">
        <color auto="1"/>
      </top>
      <bottom style="medium">
        <color indexed="64"/>
      </bottom>
      <diagonal/>
    </border>
    <border>
      <left/>
      <right style="thin">
        <color indexed="64"/>
      </right>
      <top style="double">
        <color auto="1"/>
      </top>
      <bottom style="thin">
        <color auto="1"/>
      </bottom>
      <diagonal/>
    </border>
    <border>
      <left style="thin">
        <color indexed="64"/>
      </left>
      <right style="thin">
        <color auto="1"/>
      </right>
      <top style="double">
        <color auto="1"/>
      </top>
      <bottom style="thin">
        <color indexed="64"/>
      </bottom>
      <diagonal/>
    </border>
    <border>
      <left style="thin">
        <color auto="1"/>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auto="1"/>
      </top>
      <bottom style="medium">
        <color indexed="64"/>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medium">
        <color indexed="64"/>
      </bottom>
      <diagonal/>
    </border>
    <border>
      <left style="thin">
        <color auto="1"/>
      </left>
      <right/>
      <top style="thin">
        <color auto="1"/>
      </top>
      <bottom style="medium">
        <color indexed="64"/>
      </bottom>
      <diagonal/>
    </border>
    <border>
      <left style="thick">
        <color auto="1"/>
      </left>
      <right style="thin">
        <color indexed="64"/>
      </right>
      <top style="medium">
        <color auto="1"/>
      </top>
      <bottom style="thin">
        <color auto="1"/>
      </bottom>
      <diagonal/>
    </border>
    <border>
      <left style="thick">
        <color auto="1"/>
      </left>
      <right style="thin">
        <color indexed="64"/>
      </right>
      <top style="thin">
        <color auto="1"/>
      </top>
      <bottom style="medium">
        <color indexed="64"/>
      </bottom>
      <diagonal/>
    </border>
    <border>
      <left style="thin">
        <color auto="1"/>
      </left>
      <right style="double">
        <color auto="1"/>
      </right>
      <top style="thin">
        <color auto="1"/>
      </top>
      <bottom style="medium">
        <color indexed="64"/>
      </bottom>
      <diagonal/>
    </border>
  </borders>
  <cellStyleXfs count="2">
    <xf numFmtId="0" fontId="0" fillId="0" borderId="0"/>
    <xf numFmtId="0" fontId="10" fillId="0" borderId="0" applyNumberFormat="0" applyFill="0" applyBorder="0" applyProtection="0"/>
  </cellStyleXfs>
  <cellXfs count="261">
    <xf numFmtId="0" fontId="0" fillId="0" borderId="0" xfId="0"/>
    <xf numFmtId="0" fontId="0" fillId="0" borderId="0" xfId="0" applyAlignment="1">
      <alignment wrapText="1"/>
    </xf>
    <xf numFmtId="0" fontId="0" fillId="0" borderId="0" xfId="0"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31" xfId="0" applyBorder="1" applyAlignment="1">
      <alignment horizontal="center"/>
    </xf>
    <xf numFmtId="164" fontId="0" fillId="0" borderId="33" xfId="0" applyNumberFormat="1" applyBorder="1"/>
    <xf numFmtId="164" fontId="0" fillId="0" borderId="36" xfId="0" applyNumberFormat="1" applyBorder="1"/>
    <xf numFmtId="164" fontId="0" fillId="0" borderId="37" xfId="0" applyNumberFormat="1" applyBorder="1"/>
    <xf numFmtId="0" fontId="0" fillId="0" borderId="38" xfId="0" applyBorder="1"/>
    <xf numFmtId="164" fontId="0" fillId="0" borderId="39" xfId="0" applyNumberFormat="1" applyBorder="1"/>
    <xf numFmtId="164" fontId="0" fillId="0" borderId="40" xfId="0" applyNumberFormat="1" applyBorder="1"/>
    <xf numFmtId="164" fontId="0" fillId="0" borderId="42" xfId="0" applyNumberFormat="1" applyBorder="1"/>
    <xf numFmtId="164" fontId="0" fillId="0" borderId="44" xfId="0" applyNumberFormat="1" applyBorder="1"/>
    <xf numFmtId="164" fontId="0" fillId="0" borderId="45" xfId="0" applyNumberFormat="1" applyBorder="1"/>
    <xf numFmtId="0" fontId="0" fillId="0" borderId="12" xfId="0"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1" xfId="0" applyNumberFormat="1" applyBorder="1"/>
    <xf numFmtId="164" fontId="0" fillId="0" borderId="18" xfId="0" applyNumberFormat="1" applyBorder="1"/>
    <xf numFmtId="0" fontId="0" fillId="0" borderId="48" xfId="0" applyBorder="1" applyAlignment="1">
      <alignment horizontal="center"/>
    </xf>
    <xf numFmtId="164" fontId="0" fillId="0" borderId="0" xfId="0" applyNumberFormat="1"/>
    <xf numFmtId="164" fontId="0" fillId="3" borderId="52" xfId="0" applyNumberFormat="1" applyFill="1" applyBorder="1"/>
    <xf numFmtId="164" fontId="0" fillId="3" borderId="53" xfId="0" applyNumberFormat="1" applyFill="1" applyBorder="1"/>
    <xf numFmtId="0" fontId="0" fillId="3" borderId="54" xfId="0" applyFill="1" applyBorder="1" applyAlignment="1">
      <alignment wrapText="1"/>
    </xf>
    <xf numFmtId="0" fontId="0" fillId="3" borderId="54" xfId="0" applyFill="1" applyBorder="1"/>
    <xf numFmtId="164" fontId="0" fillId="3" borderId="55" xfId="0" applyNumberFormat="1" applyFill="1" applyBorder="1"/>
    <xf numFmtId="0" fontId="0" fillId="3" borderId="56" xfId="0" applyFill="1" applyBorder="1"/>
    <xf numFmtId="164" fontId="0" fillId="3" borderId="57" xfId="0" applyNumberFormat="1" applyFill="1" applyBorder="1"/>
    <xf numFmtId="164" fontId="0" fillId="3" borderId="58" xfId="0" applyNumberFormat="1" applyFill="1" applyBorder="1"/>
    <xf numFmtId="0" fontId="11" fillId="0" borderId="0" xfId="0" applyFont="1" applyAlignment="1">
      <alignment horizontal="center"/>
    </xf>
    <xf numFmtId="164" fontId="0" fillId="0" borderId="0" xfId="0" applyNumberFormat="1" applyAlignment="1">
      <alignment wrapText="1"/>
    </xf>
    <xf numFmtId="164" fontId="0" fillId="0" borderId="20" xfId="0" applyNumberFormat="1" applyBorder="1"/>
    <xf numFmtId="0" fontId="0" fillId="2" borderId="61" xfId="0" applyFill="1" applyBorder="1" applyAlignment="1">
      <alignment horizontal="center" vertical="center" wrapText="1"/>
    </xf>
    <xf numFmtId="0" fontId="0" fillId="2" borderId="49" xfId="0" applyFill="1" applyBorder="1" applyAlignment="1">
      <alignment horizont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164" fontId="0" fillId="0" borderId="64" xfId="0" applyNumberFormat="1" applyBorder="1" applyAlignment="1">
      <alignment horizontal="center" vertical="center" wrapText="1"/>
    </xf>
    <xf numFmtId="0" fontId="11" fillId="4" borderId="38" xfId="0" applyFont="1" applyFill="1" applyBorder="1"/>
    <xf numFmtId="164" fontId="0" fillId="4" borderId="39" xfId="0" applyNumberFormat="1" applyFill="1" applyBorder="1"/>
    <xf numFmtId="164" fontId="0" fillId="4" borderId="40" xfId="0" applyNumberFormat="1" applyFill="1" applyBorder="1"/>
    <xf numFmtId="164" fontId="0" fillId="4" borderId="42" xfId="0" applyNumberFormat="1" applyFill="1" applyBorder="1"/>
    <xf numFmtId="164" fontId="0" fillId="4" borderId="43" xfId="0" applyNumberFormat="1" applyFill="1" applyBorder="1"/>
    <xf numFmtId="164" fontId="0" fillId="4" borderId="44" xfId="0" applyNumberFormat="1" applyFill="1" applyBorder="1"/>
    <xf numFmtId="164" fontId="0" fillId="4" borderId="45" xfId="0" applyNumberFormat="1" applyFill="1" applyBorder="1"/>
    <xf numFmtId="164" fontId="0" fillId="4" borderId="65" xfId="0" applyNumberFormat="1" applyFill="1" applyBorder="1"/>
    <xf numFmtId="4" fontId="0" fillId="4" borderId="66" xfId="0" applyNumberFormat="1" applyFill="1" applyBorder="1"/>
    <xf numFmtId="164" fontId="0" fillId="0" borderId="68" xfId="0" applyNumberFormat="1" applyBorder="1" applyAlignment="1">
      <alignment horizontal="center"/>
    </xf>
    <xf numFmtId="164" fontId="0" fillId="0" borderId="43" xfId="0" applyNumberFormat="1" applyBorder="1"/>
    <xf numFmtId="164" fontId="0" fillId="0" borderId="62" xfId="0" applyNumberFormat="1" applyBorder="1"/>
    <xf numFmtId="4" fontId="0" fillId="0" borderId="63" xfId="0" applyNumberFormat="1" applyBorder="1"/>
    <xf numFmtId="0" fontId="0" fillId="3" borderId="49" xfId="0" applyFill="1" applyBorder="1" applyAlignment="1">
      <alignment horizontal="center"/>
    </xf>
    <xf numFmtId="164" fontId="0" fillId="3" borderId="69" xfId="0" applyNumberFormat="1" applyFill="1" applyBorder="1" applyAlignment="1">
      <alignment horizontal="center"/>
    </xf>
    <xf numFmtId="164" fontId="0" fillId="0" borderId="12" xfId="0" applyNumberFormat="1" applyBorder="1"/>
    <xf numFmtId="164" fontId="0" fillId="0" borderId="71" xfId="0" applyNumberFormat="1" applyBorder="1"/>
    <xf numFmtId="4" fontId="0" fillId="0" borderId="72" xfId="0" applyNumberFormat="1" applyBorder="1"/>
    <xf numFmtId="164" fontId="0" fillId="4" borderId="27" xfId="0" applyNumberFormat="1" applyFill="1" applyBorder="1"/>
    <xf numFmtId="164" fontId="0" fillId="4" borderId="28" xfId="0" applyNumberFormat="1" applyFill="1" applyBorder="1"/>
    <xf numFmtId="164" fontId="0" fillId="4" borderId="68" xfId="0" applyNumberFormat="1" applyFill="1" applyBorder="1"/>
    <xf numFmtId="4" fontId="0" fillId="4" borderId="73" xfId="0" applyNumberFormat="1" applyFill="1" applyBorder="1"/>
    <xf numFmtId="164" fontId="0" fillId="0" borderId="74" xfId="0" applyNumberFormat="1" applyBorder="1"/>
    <xf numFmtId="4" fontId="0" fillId="0" borderId="75" xfId="0" applyNumberFormat="1" applyBorder="1"/>
    <xf numFmtId="164" fontId="0" fillId="3" borderId="56" xfId="0" applyNumberFormat="1" applyFill="1" applyBorder="1"/>
    <xf numFmtId="164" fontId="0" fillId="3" borderId="76" xfId="0" applyNumberFormat="1" applyFill="1" applyBorder="1"/>
    <xf numFmtId="4" fontId="0" fillId="3" borderId="77" xfId="0" applyNumberFormat="1" applyFill="1" applyBorder="1"/>
    <xf numFmtId="164" fontId="0" fillId="0" borderId="17" xfId="0" applyNumberFormat="1" applyBorder="1" applyAlignment="1">
      <alignment horizontal="center" vertical="center" wrapText="1"/>
    </xf>
    <xf numFmtId="0" fontId="0" fillId="0" borderId="71" xfId="0" applyBorder="1" applyAlignment="1">
      <alignment horizontal="center" vertical="center" wrapText="1"/>
    </xf>
    <xf numFmtId="2" fontId="0" fillId="4" borderId="80" xfId="0" applyNumberFormat="1" applyFill="1" applyBorder="1"/>
    <xf numFmtId="2" fontId="0" fillId="0" borderId="81" xfId="0" applyNumberFormat="1" applyBorder="1"/>
    <xf numFmtId="0" fontId="0" fillId="0" borderId="31" xfId="0" applyBorder="1" applyAlignment="1">
      <alignment horizontal="left"/>
    </xf>
    <xf numFmtId="2" fontId="0" fillId="0" borderId="71" xfId="0" applyNumberFormat="1" applyBorder="1"/>
    <xf numFmtId="0" fontId="11" fillId="4" borderId="82" xfId="0" applyFont="1" applyFill="1" applyBorder="1"/>
    <xf numFmtId="164" fontId="0" fillId="4" borderId="83" xfId="0" applyNumberFormat="1" applyFill="1" applyBorder="1"/>
    <xf numFmtId="164" fontId="0" fillId="4" borderId="84" xfId="0" applyNumberFormat="1" applyFill="1" applyBorder="1"/>
    <xf numFmtId="164" fontId="0" fillId="4" borderId="85" xfId="0" applyNumberFormat="1" applyFill="1" applyBorder="1"/>
    <xf numFmtId="164" fontId="0" fillId="4" borderId="86" xfId="0" applyNumberFormat="1" applyFill="1" applyBorder="1"/>
    <xf numFmtId="164" fontId="0" fillId="4" borderId="87" xfId="0" applyNumberFormat="1" applyFill="1" applyBorder="1"/>
    <xf numFmtId="2" fontId="0" fillId="4" borderId="88" xfId="0" applyNumberFormat="1" applyFill="1" applyBorder="1"/>
    <xf numFmtId="0" fontId="11" fillId="4" borderId="0" xfId="0" applyFont="1" applyFill="1"/>
    <xf numFmtId="164" fontId="0" fillId="4" borderId="89" xfId="0" applyNumberFormat="1" applyFill="1" applyBorder="1"/>
    <xf numFmtId="164" fontId="0" fillId="4" borderId="90" xfId="0" applyNumberFormat="1" applyFill="1" applyBorder="1"/>
    <xf numFmtId="164" fontId="0" fillId="4" borderId="91" xfId="0" applyNumberFormat="1" applyFill="1" applyBorder="1"/>
    <xf numFmtId="2" fontId="0" fillId="4" borderId="68" xfId="0" applyNumberFormat="1" applyFill="1" applyBorder="1"/>
    <xf numFmtId="2" fontId="0" fillId="3" borderId="69" xfId="0" applyNumberFormat="1" applyFill="1" applyBorder="1"/>
    <xf numFmtId="0" fontId="0" fillId="0" borderId="0" xfId="0" applyNumberFormat="1"/>
    <xf numFmtId="0" fontId="11" fillId="3" borderId="50" xfId="0" applyFont="1" applyFill="1" applyBorder="1" applyAlignment="1">
      <alignment horizontal="center" vertical="center"/>
    </xf>
    <xf numFmtId="0" fontId="11" fillId="3" borderId="12" xfId="0" applyFont="1" applyFill="1" applyBorder="1" applyAlignment="1">
      <alignment horizontal="center" vertical="center" wrapText="1"/>
    </xf>
    <xf numFmtId="0" fontId="0" fillId="0" borderId="2" xfId="0" applyBorder="1" applyAlignment="1">
      <alignment horizontal="center" wrapText="1"/>
    </xf>
    <xf numFmtId="0" fontId="9" fillId="0" borderId="11" xfId="0" applyFont="1" applyBorder="1" applyAlignment="1">
      <alignment horizontal="center" vertical="center" wrapText="1"/>
    </xf>
    <xf numFmtId="165" fontId="14" fillId="5" borderId="92" xfId="0" applyNumberFormat="1" applyFont="1" applyFill="1" applyBorder="1"/>
    <xf numFmtId="165" fontId="14" fillId="0" borderId="92" xfId="0" applyNumberFormat="1" applyFont="1" applyBorder="1"/>
    <xf numFmtId="165" fontId="14" fillId="0" borderId="93" xfId="0" applyNumberFormat="1" applyFont="1" applyBorder="1"/>
    <xf numFmtId="165" fontId="14" fillId="5" borderId="94" xfId="0" applyNumberFormat="1" applyFont="1" applyFill="1" applyBorder="1"/>
    <xf numFmtId="165" fontId="14" fillId="5" borderId="95" xfId="0" applyNumberFormat="1" applyFont="1" applyFill="1" applyBorder="1"/>
    <xf numFmtId="165" fontId="14" fillId="6" borderId="92" xfId="0" applyNumberFormat="1" applyFont="1" applyFill="1" applyBorder="1"/>
    <xf numFmtId="165" fontId="12" fillId="5" borderId="92" xfId="0" applyNumberFormat="1" applyFont="1" applyFill="1" applyBorder="1"/>
    <xf numFmtId="165" fontId="0" fillId="0" borderId="0" xfId="0" applyNumberFormat="1"/>
    <xf numFmtId="0" fontId="0" fillId="0" borderId="31" xfId="0" applyFill="1" applyBorder="1" applyAlignment="1">
      <alignment horizontal="center"/>
    </xf>
    <xf numFmtId="0" fontId="0" fillId="0" borderId="14" xfId="0" applyFill="1" applyBorder="1" applyAlignment="1">
      <alignment horizontal="center"/>
    </xf>
    <xf numFmtId="0" fontId="0" fillId="0" borderId="24" xfId="0" applyFill="1" applyBorder="1" applyAlignment="1">
      <alignment horizontal="center"/>
    </xf>
    <xf numFmtId="0" fontId="0" fillId="0" borderId="41" xfId="0" applyFill="1" applyBorder="1" applyAlignment="1">
      <alignment horizontal="center"/>
    </xf>
    <xf numFmtId="0" fontId="0" fillId="0" borderId="0" xfId="0" applyFill="1" applyAlignment="1">
      <alignment horizontal="center"/>
    </xf>
    <xf numFmtId="0" fontId="0" fillId="0" borderId="0" xfId="0" applyFill="1"/>
    <xf numFmtId="0" fontId="8" fillId="0" borderId="0" xfId="0" applyFont="1"/>
    <xf numFmtId="0" fontId="11" fillId="7" borderId="14" xfId="0" applyFont="1" applyFill="1" applyBorder="1" applyAlignment="1">
      <alignment horizontal="center" vertical="center" wrapText="1"/>
    </xf>
    <xf numFmtId="164" fontId="0" fillId="0" borderId="0" xfId="0" applyNumberFormat="1" applyFill="1"/>
    <xf numFmtId="0" fontId="0" fillId="0" borderId="0" xfId="0" applyFill="1" applyAlignment="1">
      <alignment wrapText="1"/>
    </xf>
    <xf numFmtId="0" fontId="0" fillId="0" borderId="0" xfId="0" applyFill="1" applyAlignment="1">
      <alignment horizontal="center" vertical="center" wrapText="1"/>
    </xf>
    <xf numFmtId="0" fontId="0" fillId="0" borderId="11" xfId="0" applyFill="1" applyBorder="1" applyAlignment="1">
      <alignment horizontal="center" vertical="center" wrapText="1"/>
    </xf>
    <xf numFmtId="164" fontId="0" fillId="0" borderId="27" xfId="0" applyNumberFormat="1" applyFill="1" applyBorder="1"/>
    <xf numFmtId="164" fontId="0" fillId="0" borderId="36" xfId="0" applyNumberFormat="1" applyFill="1" applyBorder="1"/>
    <xf numFmtId="164" fontId="0" fillId="0" borderId="44" xfId="0" applyNumberFormat="1" applyFill="1" applyBorder="1"/>
    <xf numFmtId="164" fontId="0" fillId="0" borderId="11" xfId="0" applyNumberFormat="1" applyFill="1" applyBorder="1"/>
    <xf numFmtId="10" fontId="0" fillId="0" borderId="0" xfId="0" applyNumberFormat="1"/>
    <xf numFmtId="164" fontId="0" fillId="0" borderId="39" xfId="0" applyNumberFormat="1" applyFill="1" applyBorder="1"/>
    <xf numFmtId="164" fontId="0" fillId="0" borderId="15" xfId="0" applyNumberFormat="1" applyFill="1" applyBorder="1"/>
    <xf numFmtId="164" fontId="0" fillId="0" borderId="40" xfId="0" applyNumberFormat="1" applyFill="1" applyBorder="1"/>
    <xf numFmtId="10" fontId="0" fillId="0" borderId="91" xfId="0" applyNumberFormat="1" applyBorder="1"/>
    <xf numFmtId="10" fontId="0" fillId="8" borderId="98" xfId="0" applyNumberFormat="1" applyFill="1" applyBorder="1"/>
    <xf numFmtId="10" fontId="0" fillId="0" borderId="33" xfId="0" applyNumberFormat="1" applyBorder="1"/>
    <xf numFmtId="164" fontId="4" fillId="8" borderId="98" xfId="0" applyNumberFormat="1" applyFont="1" applyFill="1" applyBorder="1"/>
    <xf numFmtId="164" fontId="0" fillId="8" borderId="97" xfId="0" applyNumberFormat="1" applyFill="1" applyBorder="1"/>
    <xf numFmtId="164" fontId="4" fillId="0" borderId="33" xfId="0" applyNumberFormat="1" applyFont="1" applyBorder="1"/>
    <xf numFmtId="164" fontId="0" fillId="7" borderId="23" xfId="0" applyNumberFormat="1" applyFill="1" applyBorder="1"/>
    <xf numFmtId="10" fontId="0" fillId="7" borderId="33" xfId="0" applyNumberFormat="1" applyFill="1" applyBorder="1"/>
    <xf numFmtId="166" fontId="0" fillId="0" borderId="0" xfId="0" applyNumberFormat="1"/>
    <xf numFmtId="10" fontId="0" fillId="0" borderId="16" xfId="0" applyNumberFormat="1" applyBorder="1"/>
    <xf numFmtId="164" fontId="0" fillId="8" borderId="84" xfId="0" applyNumberFormat="1" applyFill="1" applyBorder="1"/>
    <xf numFmtId="164" fontId="7" fillId="8" borderId="84" xfId="0" applyNumberFormat="1" applyFont="1" applyFill="1" applyBorder="1"/>
    <xf numFmtId="10" fontId="0" fillId="8" borderId="84" xfId="0" applyNumberFormat="1" applyFill="1" applyBorder="1"/>
    <xf numFmtId="164" fontId="0" fillId="8" borderId="99" xfId="0" applyNumberFormat="1" applyFill="1" applyBorder="1"/>
    <xf numFmtId="10" fontId="0" fillId="8" borderId="99" xfId="0" applyNumberFormat="1" applyFill="1" applyBorder="1"/>
    <xf numFmtId="165" fontId="12" fillId="0" borderId="92" xfId="0" applyNumberFormat="1" applyFont="1" applyFill="1" applyBorder="1"/>
    <xf numFmtId="165" fontId="12" fillId="7" borderId="92" xfId="0" applyNumberFormat="1" applyFont="1" applyFill="1" applyBorder="1"/>
    <xf numFmtId="164" fontId="0" fillId="0" borderId="96" xfId="0" applyNumberFormat="1" applyBorder="1"/>
    <xf numFmtId="164" fontId="0" fillId="7" borderId="57" xfId="0" applyNumberFormat="1" applyFill="1" applyBorder="1"/>
    <xf numFmtId="0" fontId="0" fillId="0" borderId="20" xfId="0" applyFill="1" applyBorder="1"/>
    <xf numFmtId="0" fontId="0" fillId="0" borderId="20" xfId="0" applyFill="1" applyBorder="1" applyAlignment="1">
      <alignment wrapText="1"/>
    </xf>
    <xf numFmtId="164" fontId="0" fillId="0" borderId="22" xfId="0" applyNumberFormat="1" applyFill="1" applyBorder="1"/>
    <xf numFmtId="164" fontId="0" fillId="0" borderId="23" xfId="0" applyNumberFormat="1" applyFill="1" applyBorder="1"/>
    <xf numFmtId="0" fontId="0" fillId="0" borderId="24" xfId="0" applyFill="1" applyBorder="1" applyAlignment="1">
      <alignment wrapText="1"/>
    </xf>
    <xf numFmtId="164" fontId="0" fillId="0" borderId="25" xfId="0" applyNumberFormat="1" applyFill="1" applyBorder="1"/>
    <xf numFmtId="0" fontId="0" fillId="0" borderId="26" xfId="0" applyFill="1" applyBorder="1" applyAlignment="1">
      <alignment wrapText="1"/>
    </xf>
    <xf numFmtId="164" fontId="0" fillId="0" borderId="28" xfId="0" applyNumberFormat="1" applyFill="1" applyBorder="1"/>
    <xf numFmtId="0" fontId="0" fillId="0" borderId="30" xfId="0" applyFill="1" applyBorder="1"/>
    <xf numFmtId="0" fontId="0" fillId="0" borderId="30" xfId="0" applyFill="1" applyBorder="1" applyAlignment="1">
      <alignment wrapText="1"/>
    </xf>
    <xf numFmtId="164" fontId="0" fillId="0" borderId="32" xfId="0" applyNumberFormat="1" applyFill="1" applyBorder="1"/>
    <xf numFmtId="164" fontId="0" fillId="0" borderId="33" xfId="0" applyNumberFormat="1" applyFill="1" applyBorder="1"/>
    <xf numFmtId="0" fontId="0" fillId="0" borderId="31" xfId="0" applyFill="1" applyBorder="1" applyAlignment="1">
      <alignment wrapText="1"/>
    </xf>
    <xf numFmtId="164" fontId="0" fillId="0" borderId="34" xfId="0" applyNumberFormat="1" applyFill="1" applyBorder="1"/>
    <xf numFmtId="0" fontId="0" fillId="0" borderId="35" xfId="0" applyFill="1" applyBorder="1" applyAlignment="1">
      <alignment wrapText="1"/>
    </xf>
    <xf numFmtId="164" fontId="0" fillId="0" borderId="37" xfId="0" applyNumberFormat="1" applyFill="1" applyBorder="1"/>
    <xf numFmtId="0" fontId="12" fillId="0" borderId="0" xfId="0" applyFont="1" applyFill="1" applyAlignment="1">
      <alignment wrapText="1"/>
    </xf>
    <xf numFmtId="0" fontId="0" fillId="0" borderId="38" xfId="0" applyFill="1" applyBorder="1"/>
    <xf numFmtId="0" fontId="0" fillId="0" borderId="38" xfId="0" applyFill="1" applyBorder="1" applyAlignment="1">
      <alignment wrapText="1"/>
    </xf>
    <xf numFmtId="0" fontId="0" fillId="0" borderId="41" xfId="0" applyFill="1" applyBorder="1" applyAlignment="1">
      <alignment wrapText="1"/>
    </xf>
    <xf numFmtId="164" fontId="0" fillId="0" borderId="42" xfId="0" applyNumberFormat="1" applyFill="1" applyBorder="1"/>
    <xf numFmtId="0" fontId="0" fillId="0" borderId="43" xfId="0" applyFill="1" applyBorder="1" applyAlignment="1">
      <alignment wrapText="1"/>
    </xf>
    <xf numFmtId="164" fontId="0" fillId="0" borderId="45" xfId="0" applyNumberFormat="1" applyFill="1" applyBorder="1"/>
    <xf numFmtId="0" fontId="0" fillId="0" borderId="12" xfId="0" applyFill="1" applyBorder="1"/>
    <xf numFmtId="0" fontId="0" fillId="0" borderId="13" xfId="0" applyFill="1" applyBorder="1" applyAlignment="1">
      <alignment wrapText="1"/>
    </xf>
    <xf numFmtId="164" fontId="0" fillId="0" borderId="16" xfId="0" applyNumberFormat="1" applyFill="1" applyBorder="1"/>
    <xf numFmtId="0" fontId="0" fillId="0" borderId="14" xfId="0" applyFill="1" applyBorder="1" applyAlignment="1">
      <alignment wrapText="1"/>
    </xf>
    <xf numFmtId="164" fontId="0" fillId="0" borderId="17" xfId="0" applyNumberFormat="1" applyFill="1" applyBorder="1"/>
    <xf numFmtId="0" fontId="0" fillId="0" borderId="12" xfId="0" applyFill="1" applyBorder="1" applyAlignment="1">
      <alignment wrapText="1"/>
    </xf>
    <xf numFmtId="164" fontId="0" fillId="0" borderId="18" xfId="0" applyNumberFormat="1" applyFill="1" applyBorder="1"/>
    <xf numFmtId="0" fontId="9" fillId="0" borderId="31" xfId="0" applyFont="1" applyFill="1" applyBorder="1" applyAlignment="1">
      <alignment wrapText="1"/>
    </xf>
    <xf numFmtId="0" fontId="9" fillId="0" borderId="24" xfId="0" applyFont="1" applyFill="1" applyBorder="1" applyAlignment="1">
      <alignment wrapText="1"/>
    </xf>
    <xf numFmtId="0" fontId="5" fillId="0" borderId="14" xfId="0" applyFont="1" applyFill="1" applyBorder="1" applyAlignment="1">
      <alignment wrapText="1"/>
    </xf>
    <xf numFmtId="0" fontId="13" fillId="0" borderId="0" xfId="0" applyFont="1" applyFill="1" applyAlignment="1">
      <alignment wrapText="1"/>
    </xf>
    <xf numFmtId="0" fontId="3" fillId="0" borderId="30" xfId="0" applyFont="1" applyFill="1" applyBorder="1"/>
    <xf numFmtId="0" fontId="3" fillId="0" borderId="33" xfId="0" applyFont="1" applyFill="1" applyBorder="1"/>
    <xf numFmtId="0" fontId="0" fillId="0" borderId="33" xfId="0" applyFill="1" applyBorder="1" applyAlignment="1">
      <alignment wrapText="1"/>
    </xf>
    <xf numFmtId="0" fontId="3" fillId="0" borderId="31" xfId="0" applyFont="1" applyFill="1" applyBorder="1" applyAlignment="1">
      <alignment wrapText="1"/>
    </xf>
    <xf numFmtId="164" fontId="0" fillId="9" borderId="83" xfId="0" applyNumberFormat="1" applyFill="1" applyBorder="1"/>
    <xf numFmtId="0" fontId="2" fillId="0" borderId="14" xfId="0" applyFont="1" applyFill="1" applyBorder="1" applyAlignment="1">
      <alignment wrapText="1"/>
    </xf>
    <xf numFmtId="0" fontId="2" fillId="0" borderId="31" xfId="0" applyFont="1" applyFill="1" applyBorder="1" applyAlignment="1">
      <alignment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10" fontId="0" fillId="0" borderId="68" xfId="0" applyNumberFormat="1" applyBorder="1" applyAlignment="1"/>
    <xf numFmtId="0" fontId="0" fillId="2" borderId="60" xfId="0" applyFill="1" applyBorder="1" applyAlignment="1">
      <alignment vertical="center" wrapText="1"/>
    </xf>
    <xf numFmtId="0" fontId="0" fillId="2" borderId="61" xfId="0" applyFill="1" applyBorder="1" applyAlignment="1">
      <alignment vertical="center" wrapText="1"/>
    </xf>
    <xf numFmtId="10" fontId="0" fillId="0" borderId="64" xfId="0" applyNumberFormat="1" applyBorder="1" applyAlignment="1">
      <alignment vertical="center" wrapText="1"/>
    </xf>
    <xf numFmtId="10" fontId="0" fillId="7" borderId="69" xfId="0" applyNumberFormat="1" applyFill="1" applyBorder="1"/>
    <xf numFmtId="164" fontId="0" fillId="0" borderId="5" xfId="0" applyNumberFormat="1" applyBorder="1"/>
    <xf numFmtId="164" fontId="0" fillId="0" borderId="10" xfId="0" applyNumberFormat="1" applyBorder="1"/>
    <xf numFmtId="164" fontId="0" fillId="0" borderId="100" xfId="0" applyNumberFormat="1" applyBorder="1"/>
    <xf numFmtId="164" fontId="0" fillId="0" borderId="7" xfId="0" applyNumberFormat="1" applyBorder="1"/>
    <xf numFmtId="164" fontId="0" fillId="0" borderId="101" xfId="0" applyNumberFormat="1" applyBorder="1"/>
    <xf numFmtId="0" fontId="2" fillId="7" borderId="102" xfId="0" applyFont="1" applyFill="1" applyBorder="1"/>
    <xf numFmtId="0" fontId="2" fillId="7" borderId="103" xfId="0" applyFont="1" applyFill="1" applyBorder="1"/>
    <xf numFmtId="164" fontId="0" fillId="0" borderId="8" xfId="0" applyNumberFormat="1" applyBorder="1"/>
    <xf numFmtId="164" fontId="0" fillId="0" borderId="104" xfId="0" applyNumberFormat="1" applyBorder="1"/>
    <xf numFmtId="164" fontId="0" fillId="0" borderId="105" xfId="0" applyNumberFormat="1" applyBorder="1"/>
    <xf numFmtId="164" fontId="0" fillId="0" borderId="106" xfId="0" applyNumberFormat="1" applyBorder="1"/>
    <xf numFmtId="164" fontId="0" fillId="0" borderId="6" xfId="0" applyNumberFormat="1" applyBorder="1"/>
    <xf numFmtId="164" fontId="0" fillId="0" borderId="107" xfId="0" applyNumberFormat="1" applyBorder="1"/>
    <xf numFmtId="0" fontId="2" fillId="0" borderId="67" xfId="0" applyFont="1" applyBorder="1" applyAlignment="1">
      <alignment horizontal="center"/>
    </xf>
    <xf numFmtId="0" fontId="2" fillId="0" borderId="1" xfId="0" applyFont="1" applyBorder="1" applyAlignment="1">
      <alignment horizontal="center" vertical="center" wrapText="1"/>
    </xf>
    <xf numFmtId="0" fontId="2" fillId="0" borderId="41" xfId="0" applyFont="1" applyFill="1" applyBorder="1" applyAlignment="1">
      <alignment wrapText="1"/>
    </xf>
    <xf numFmtId="0" fontId="2" fillId="2" borderId="64" xfId="0" applyFont="1" applyFill="1" applyBorder="1" applyAlignment="1">
      <alignment horizontal="center" vertical="center" wrapText="1"/>
    </xf>
    <xf numFmtId="0" fontId="0" fillId="0" borderId="21" xfId="0" applyFill="1" applyBorder="1" applyAlignment="1">
      <alignment horizontal="center"/>
    </xf>
    <xf numFmtId="0" fontId="2" fillId="0" borderId="24" xfId="0" applyFont="1" applyFill="1" applyBorder="1" applyAlignment="1">
      <alignment wrapText="1"/>
    </xf>
    <xf numFmtId="0" fontId="3" fillId="0" borderId="24" xfId="0" applyFont="1" applyFill="1" applyBorder="1" applyAlignment="1">
      <alignment wrapText="1"/>
    </xf>
    <xf numFmtId="0" fontId="0" fillId="0" borderId="31" xfId="1" applyFont="1" applyFill="1" applyBorder="1" applyAlignment="1">
      <alignment horizontal="center"/>
    </xf>
    <xf numFmtId="0" fontId="3" fillId="0" borderId="41" xfId="0" applyFont="1" applyFill="1" applyBorder="1" applyAlignment="1">
      <alignment wrapText="1"/>
    </xf>
    <xf numFmtId="0" fontId="0" fillId="0" borderId="47" xfId="0" applyFill="1" applyBorder="1" applyAlignment="1">
      <alignment horizontal="center"/>
    </xf>
    <xf numFmtId="0" fontId="3" fillId="0" borderId="14" xfId="0" applyFont="1" applyFill="1" applyBorder="1" applyAlignment="1">
      <alignment wrapText="1"/>
    </xf>
    <xf numFmtId="0" fontId="4" fillId="0" borderId="14" xfId="0" applyFont="1" applyFill="1" applyBorder="1" applyAlignment="1">
      <alignment wrapText="1"/>
    </xf>
    <xf numFmtId="0" fontId="4" fillId="0" borderId="31" xfId="0" applyFont="1" applyFill="1" applyBorder="1" applyAlignment="1">
      <alignment wrapText="1"/>
    </xf>
    <xf numFmtId="0" fontId="6" fillId="0" borderId="31" xfId="0" applyFont="1" applyFill="1" applyBorder="1" applyAlignment="1">
      <alignment wrapText="1"/>
    </xf>
    <xf numFmtId="0" fontId="0" fillId="0" borderId="48" xfId="0" applyFill="1" applyBorder="1" applyAlignment="1">
      <alignment horizontal="center"/>
    </xf>
    <xf numFmtId="0" fontId="10" fillId="0" borderId="48" xfId="1" applyFill="1" applyBorder="1"/>
    <xf numFmtId="0" fontId="3" fillId="0" borderId="0" xfId="0" applyFont="1" applyFill="1" applyAlignment="1">
      <alignment wrapText="1"/>
    </xf>
    <xf numFmtId="0" fontId="5" fillId="0" borderId="41" xfId="0" applyFont="1" applyFill="1" applyBorder="1" applyAlignment="1">
      <alignment wrapText="1"/>
    </xf>
    <xf numFmtId="0" fontId="1" fillId="0" borderId="41" xfId="0" applyFont="1" applyFill="1" applyBorder="1" applyAlignment="1">
      <alignment wrapText="1"/>
    </xf>
    <xf numFmtId="0" fontId="1" fillId="0" borderId="31" xfId="0" applyFont="1" applyFill="1" applyBorder="1" applyAlignment="1">
      <alignment wrapText="1"/>
    </xf>
    <xf numFmtId="0" fontId="1" fillId="0" borderId="24" xfId="0" applyFont="1" applyFill="1" applyBorder="1" applyAlignment="1">
      <alignment wrapText="1"/>
    </xf>
    <xf numFmtId="0" fontId="1" fillId="0" borderId="14" xfId="0" applyFont="1" applyFill="1" applyBorder="1" applyAlignment="1">
      <alignment wrapText="1"/>
    </xf>
    <xf numFmtId="0" fontId="0" fillId="0" borderId="19" xfId="0" applyFill="1" applyBorder="1" applyAlignment="1">
      <alignment horizontal="center" vertical="center"/>
    </xf>
    <xf numFmtId="0" fontId="0" fillId="0" borderId="29" xfId="0" applyFill="1" applyBorder="1" applyAlignment="1">
      <alignment horizontal="center" vertical="center"/>
    </xf>
    <xf numFmtId="0" fontId="0" fillId="0" borderId="46" xfId="0" applyFill="1" applyBorder="1" applyAlignment="1">
      <alignment horizontal="center" vertical="center"/>
    </xf>
    <xf numFmtId="0" fontId="11" fillId="3" borderId="49"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46" xfId="0" applyBorder="1" applyAlignment="1">
      <alignment horizontal="center" vertical="center"/>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70" xfId="0" applyBorder="1" applyAlignment="1">
      <alignment horizontal="center" vertical="center"/>
    </xf>
    <xf numFmtId="0" fontId="11"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9" xfId="0"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NR-IFN@MI"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NR-IFN@TN" TargetMode="External"/><Relationship Id="rId1" Type="http://schemas.openxmlformats.org/officeDocument/2006/relationships/hyperlink" Target="mailto:CNR-IFN@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6"/>
  <sheetViews>
    <sheetView tabSelected="1" topLeftCell="B82" zoomScale="90" zoomScaleNormal="90" workbookViewId="0">
      <pane xSplit="1" topLeftCell="C1" activePane="topRight" state="frozen"/>
      <selection activeCell="B1" sqref="B1"/>
      <selection pane="topRight" activeCell="A89" sqref="A89:D89"/>
    </sheetView>
  </sheetViews>
  <sheetFormatPr defaultColWidth="11.19921875" defaultRowHeight="15.6"/>
  <cols>
    <col min="1" max="1" width="0" hidden="1" customWidth="1"/>
    <col min="3" max="3" width="44" style="1" customWidth="1"/>
    <col min="4" max="4" width="13.296875" style="109" customWidth="1"/>
    <col min="5" max="5" width="16.296875" customWidth="1"/>
    <col min="6" max="6" width="15.19921875" bestFit="1" customWidth="1"/>
    <col min="7" max="7" width="39.796875" style="1" customWidth="1"/>
    <col min="8" max="8" width="15.5" customWidth="1"/>
    <col min="9" max="9" width="14" bestFit="1" customWidth="1"/>
    <col min="10" max="10" width="39.796875" style="1" customWidth="1"/>
    <col min="11" max="11" width="12.5" bestFit="1" customWidth="1"/>
    <col min="12" max="12" width="13.5" customWidth="1"/>
    <col min="13" max="13" width="39.796875" customWidth="1"/>
    <col min="14" max="14" width="12.5" bestFit="1" customWidth="1"/>
    <col min="15" max="15" width="14.296875" customWidth="1"/>
    <col min="16" max="16" width="39.796875" customWidth="1"/>
    <col min="17" max="17" width="14.5" customWidth="1"/>
    <col min="18" max="18" width="13.69921875" customWidth="1"/>
    <col min="19" max="19" width="39.796875" customWidth="1"/>
    <col min="20" max="20" width="14.69921875" customWidth="1"/>
    <col min="21" max="21" width="13" customWidth="1"/>
    <col min="22" max="22" width="39.796875" customWidth="1"/>
    <col min="23" max="23" width="16.69921875" style="110" customWidth="1"/>
    <col min="24" max="24" width="15.69921875" customWidth="1"/>
    <col min="25" max="25" width="15.19921875" style="110" bestFit="1" customWidth="1"/>
    <col min="26" max="26" width="12.5" bestFit="1" customWidth="1"/>
    <col min="27" max="27" width="18.5" customWidth="1"/>
    <col min="28" max="28" width="14.296875" customWidth="1"/>
    <col min="29" max="29" width="17.69921875" customWidth="1"/>
  </cols>
  <sheetData>
    <row r="1" spans="1:25" s="1" customFormat="1" ht="61.05" customHeight="1">
      <c r="A1" s="243"/>
      <c r="B1" s="244"/>
      <c r="C1" s="244"/>
      <c r="D1" s="245"/>
      <c r="E1" s="234" t="s">
        <v>0</v>
      </c>
      <c r="F1" s="235"/>
      <c r="G1" s="236"/>
      <c r="H1" s="234" t="s">
        <v>1</v>
      </c>
      <c r="I1" s="235"/>
      <c r="J1" s="236"/>
      <c r="K1" s="234" t="s">
        <v>2</v>
      </c>
      <c r="L1" s="235"/>
      <c r="M1" s="236"/>
      <c r="N1" s="234" t="s">
        <v>3</v>
      </c>
      <c r="O1" s="235"/>
      <c r="P1" s="236"/>
      <c r="Q1" s="234" t="s">
        <v>4</v>
      </c>
      <c r="R1" s="235"/>
      <c r="S1" s="236"/>
      <c r="T1" s="237" t="s">
        <v>5</v>
      </c>
      <c r="U1" s="235"/>
      <c r="V1" s="238"/>
      <c r="W1" s="239" t="s">
        <v>6</v>
      </c>
      <c r="X1" s="240"/>
      <c r="Y1" s="114"/>
    </row>
    <row r="2" spans="1:25" s="2" customFormat="1" ht="46.8">
      <c r="A2" s="3" t="s">
        <v>7</v>
      </c>
      <c r="B2" s="241" t="s">
        <v>8</v>
      </c>
      <c r="C2" s="242"/>
      <c r="D2" s="112" t="s">
        <v>9</v>
      </c>
      <c r="E2" s="5" t="s">
        <v>10</v>
      </c>
      <c r="F2" s="6" t="s">
        <v>11</v>
      </c>
      <c r="G2" s="7" t="s">
        <v>12</v>
      </c>
      <c r="H2" s="5" t="s">
        <v>10</v>
      </c>
      <c r="I2" s="6" t="s">
        <v>11</v>
      </c>
      <c r="J2" s="7" t="s">
        <v>13</v>
      </c>
      <c r="K2" s="5" t="s">
        <v>10</v>
      </c>
      <c r="L2" s="6" t="s">
        <v>11</v>
      </c>
      <c r="M2" s="7" t="s">
        <v>13</v>
      </c>
      <c r="N2" s="5" t="s">
        <v>10</v>
      </c>
      <c r="O2" s="6" t="s">
        <v>11</v>
      </c>
      <c r="P2" s="7" t="s">
        <v>13</v>
      </c>
      <c r="Q2" s="5" t="s">
        <v>10</v>
      </c>
      <c r="R2" s="6" t="s">
        <v>11</v>
      </c>
      <c r="S2" s="7" t="s">
        <v>13</v>
      </c>
      <c r="T2" s="8" t="s">
        <v>10</v>
      </c>
      <c r="U2" s="6" t="s">
        <v>11</v>
      </c>
      <c r="V2" s="9" t="s">
        <v>13</v>
      </c>
      <c r="W2" s="116" t="s">
        <v>10</v>
      </c>
      <c r="X2" s="11" t="s">
        <v>11</v>
      </c>
      <c r="Y2" s="115"/>
    </row>
    <row r="3" spans="1:25" s="110" customFormat="1" ht="31.2">
      <c r="A3" s="228" t="s">
        <v>14</v>
      </c>
      <c r="B3" s="144" t="s">
        <v>15</v>
      </c>
      <c r="C3" s="145" t="s">
        <v>317</v>
      </c>
      <c r="D3" s="210" t="s">
        <v>16</v>
      </c>
      <c r="E3" s="146">
        <f>2*50160</f>
        <v>100320</v>
      </c>
      <c r="F3" s="147">
        <v>0</v>
      </c>
      <c r="G3" s="211" t="s">
        <v>307</v>
      </c>
      <c r="H3" s="146">
        <v>0</v>
      </c>
      <c r="I3" s="147">
        <f t="shared" ref="I3:I66" si="0">0.22*H3</f>
        <v>0</v>
      </c>
      <c r="J3" s="148"/>
      <c r="K3" s="146">
        <v>0</v>
      </c>
      <c r="L3" s="147">
        <f t="shared" ref="L3:L66" si="1">0.22*K3</f>
        <v>0</v>
      </c>
      <c r="M3" s="148"/>
      <c r="N3" s="146">
        <v>0</v>
      </c>
      <c r="O3" s="147">
        <f t="shared" ref="O3:O66" si="2">0.22*N3</f>
        <v>0</v>
      </c>
      <c r="P3" s="148"/>
      <c r="Q3" s="146">
        <f>0.07*(E3+H3+K3+N3+T3)-0.03</f>
        <v>7022.3700000000008</v>
      </c>
      <c r="R3" s="147">
        <f t="shared" ref="R3:R66" si="3">0.07*(F3+I3+L3+O3+U3)</f>
        <v>0</v>
      </c>
      <c r="S3" s="212" t="s">
        <v>25</v>
      </c>
      <c r="T3" s="149">
        <v>0</v>
      </c>
      <c r="U3" s="147">
        <f t="shared" ref="U3:U66" si="4">0.22*T3</f>
        <v>0</v>
      </c>
      <c r="V3" s="150"/>
      <c r="W3" s="117">
        <f t="shared" ref="W3:W9" si="5">E3+H3+K3+N3+Q3+T3</f>
        <v>107342.37</v>
      </c>
      <c r="X3" s="151">
        <f t="shared" ref="X3:X9" si="6">F3+I3+L3+O3+R3+U3</f>
        <v>0</v>
      </c>
    </row>
    <row r="4" spans="1:25" s="110" customFormat="1" ht="34.049999999999997" customHeight="1">
      <c r="A4" s="229"/>
      <c r="B4" s="152" t="s">
        <v>17</v>
      </c>
      <c r="C4" s="153" t="s">
        <v>318</v>
      </c>
      <c r="D4" s="105" t="s">
        <v>16</v>
      </c>
      <c r="E4" s="154">
        <f>2*82000</f>
        <v>164000</v>
      </c>
      <c r="F4" s="155">
        <v>0</v>
      </c>
      <c r="G4" s="184" t="s">
        <v>306</v>
      </c>
      <c r="H4" s="154">
        <v>0</v>
      </c>
      <c r="I4" s="155">
        <f t="shared" si="0"/>
        <v>0</v>
      </c>
      <c r="J4" s="156"/>
      <c r="K4" s="154">
        <v>0</v>
      </c>
      <c r="L4" s="155">
        <f t="shared" si="1"/>
        <v>0</v>
      </c>
      <c r="M4" s="156"/>
      <c r="N4" s="154">
        <v>0</v>
      </c>
      <c r="O4" s="155">
        <f t="shared" si="2"/>
        <v>0</v>
      </c>
      <c r="P4" s="156"/>
      <c r="Q4" s="154">
        <f t="shared" ref="Q4:Q66" si="7">0.07*(E4+H4+K4+N4+T4)</f>
        <v>11480.000000000002</v>
      </c>
      <c r="R4" s="155">
        <f t="shared" si="3"/>
        <v>0</v>
      </c>
      <c r="S4" s="181" t="s">
        <v>25</v>
      </c>
      <c r="T4" s="157">
        <v>0</v>
      </c>
      <c r="U4" s="155">
        <f t="shared" si="4"/>
        <v>0</v>
      </c>
      <c r="V4" s="158"/>
      <c r="W4" s="118">
        <f t="shared" si="5"/>
        <v>175480</v>
      </c>
      <c r="X4" s="159">
        <f t="shared" si="6"/>
        <v>0</v>
      </c>
    </row>
    <row r="5" spans="1:25" s="110" customFormat="1" ht="31.2">
      <c r="A5" s="229"/>
      <c r="B5" s="152" t="s">
        <v>18</v>
      </c>
      <c r="C5" s="160" t="s">
        <v>19</v>
      </c>
      <c r="D5" s="105" t="s">
        <v>20</v>
      </c>
      <c r="E5" s="154">
        <v>12771</v>
      </c>
      <c r="F5" s="155">
        <v>0</v>
      </c>
      <c r="G5" s="156" t="s">
        <v>21</v>
      </c>
      <c r="H5" s="154">
        <v>0</v>
      </c>
      <c r="I5" s="155">
        <f t="shared" si="0"/>
        <v>0</v>
      </c>
      <c r="J5" s="156"/>
      <c r="K5" s="154">
        <v>0</v>
      </c>
      <c r="L5" s="155">
        <f t="shared" si="1"/>
        <v>0</v>
      </c>
      <c r="M5" s="156"/>
      <c r="N5" s="154">
        <v>0</v>
      </c>
      <c r="O5" s="155">
        <f t="shared" si="2"/>
        <v>0</v>
      </c>
      <c r="P5" s="156"/>
      <c r="Q5" s="154">
        <f t="shared" si="7"/>
        <v>893.97000000000014</v>
      </c>
      <c r="R5" s="155">
        <f t="shared" si="3"/>
        <v>0</v>
      </c>
      <c r="S5" s="156" t="s">
        <v>22</v>
      </c>
      <c r="T5" s="157">
        <v>0</v>
      </c>
      <c r="U5" s="155">
        <f t="shared" si="4"/>
        <v>0</v>
      </c>
      <c r="V5" s="158"/>
      <c r="W5" s="118">
        <f t="shared" si="5"/>
        <v>13664.97</v>
      </c>
      <c r="X5" s="159">
        <f t="shared" si="6"/>
        <v>0</v>
      </c>
    </row>
    <row r="6" spans="1:25" s="110" customFormat="1" ht="31.2">
      <c r="A6" s="229"/>
      <c r="B6" s="152" t="s">
        <v>23</v>
      </c>
      <c r="C6" s="153" t="s">
        <v>319</v>
      </c>
      <c r="D6" s="105" t="s">
        <v>20</v>
      </c>
      <c r="E6" s="154">
        <v>25542</v>
      </c>
      <c r="F6" s="155">
        <v>0</v>
      </c>
      <c r="G6" s="156" t="s">
        <v>24</v>
      </c>
      <c r="H6" s="154">
        <v>0</v>
      </c>
      <c r="I6" s="155">
        <f t="shared" si="0"/>
        <v>0</v>
      </c>
      <c r="J6" s="156"/>
      <c r="K6" s="154">
        <v>0</v>
      </c>
      <c r="L6" s="155">
        <f t="shared" si="1"/>
        <v>0</v>
      </c>
      <c r="M6" s="156"/>
      <c r="N6" s="154">
        <v>0</v>
      </c>
      <c r="O6" s="155">
        <f t="shared" si="2"/>
        <v>0</v>
      </c>
      <c r="P6" s="156"/>
      <c r="Q6" s="154">
        <f t="shared" si="7"/>
        <v>1787.9400000000003</v>
      </c>
      <c r="R6" s="155">
        <f t="shared" si="3"/>
        <v>0</v>
      </c>
      <c r="S6" s="156" t="s">
        <v>25</v>
      </c>
      <c r="T6" s="157">
        <v>0</v>
      </c>
      <c r="U6" s="155">
        <f t="shared" si="4"/>
        <v>0</v>
      </c>
      <c r="V6" s="158"/>
      <c r="W6" s="118">
        <f t="shared" si="5"/>
        <v>27329.94</v>
      </c>
      <c r="X6" s="159">
        <f t="shared" si="6"/>
        <v>0</v>
      </c>
    </row>
    <row r="7" spans="1:25" s="110" customFormat="1" ht="31.2">
      <c r="A7" s="229"/>
      <c r="B7" s="161" t="s">
        <v>26</v>
      </c>
      <c r="C7" s="162" t="s">
        <v>27</v>
      </c>
      <c r="D7" s="213" t="s">
        <v>16</v>
      </c>
      <c r="E7" s="122">
        <f>44080*2</f>
        <v>88160</v>
      </c>
      <c r="F7" s="124">
        <v>0</v>
      </c>
      <c r="G7" s="208" t="s">
        <v>305</v>
      </c>
      <c r="H7" s="122">
        <v>0</v>
      </c>
      <c r="I7" s="124">
        <f t="shared" si="0"/>
        <v>0</v>
      </c>
      <c r="J7" s="163"/>
      <c r="K7" s="122">
        <v>0</v>
      </c>
      <c r="L7" s="124">
        <f t="shared" si="1"/>
        <v>0</v>
      </c>
      <c r="M7" s="163"/>
      <c r="N7" s="122">
        <v>0</v>
      </c>
      <c r="O7" s="124">
        <f t="shared" si="2"/>
        <v>0</v>
      </c>
      <c r="P7" s="163"/>
      <c r="Q7" s="122">
        <f t="shared" si="7"/>
        <v>6171.2000000000007</v>
      </c>
      <c r="R7" s="124">
        <f t="shared" si="3"/>
        <v>0</v>
      </c>
      <c r="S7" s="214" t="s">
        <v>25</v>
      </c>
      <c r="T7" s="164">
        <v>0</v>
      </c>
      <c r="U7" s="124">
        <f t="shared" si="4"/>
        <v>0</v>
      </c>
      <c r="V7" s="165"/>
      <c r="W7" s="119">
        <f t="shared" si="5"/>
        <v>94331.199999999997</v>
      </c>
      <c r="X7" s="166">
        <f t="shared" si="6"/>
        <v>0</v>
      </c>
    </row>
    <row r="8" spans="1:25" s="110" customFormat="1" ht="31.2">
      <c r="A8" s="230"/>
      <c r="B8" s="167" t="s">
        <v>28</v>
      </c>
      <c r="C8" s="168" t="s">
        <v>320</v>
      </c>
      <c r="D8" s="215" t="s">
        <v>29</v>
      </c>
      <c r="E8" s="123">
        <v>75240</v>
      </c>
      <c r="F8" s="169">
        <v>0</v>
      </c>
      <c r="G8" s="216" t="s">
        <v>30</v>
      </c>
      <c r="H8" s="123">
        <v>0</v>
      </c>
      <c r="I8" s="169">
        <f t="shared" si="0"/>
        <v>0</v>
      </c>
      <c r="J8" s="170"/>
      <c r="K8" s="123">
        <v>0</v>
      </c>
      <c r="L8" s="169">
        <f t="shared" si="1"/>
        <v>0</v>
      </c>
      <c r="M8" s="170"/>
      <c r="N8" s="123">
        <v>0</v>
      </c>
      <c r="O8" s="169">
        <f t="shared" si="2"/>
        <v>0</v>
      </c>
      <c r="P8" s="170"/>
      <c r="Q8" s="123">
        <f t="shared" si="7"/>
        <v>5266.8</v>
      </c>
      <c r="R8" s="169">
        <f t="shared" si="3"/>
        <v>0</v>
      </c>
      <c r="S8" s="216" t="s">
        <v>25</v>
      </c>
      <c r="T8" s="171">
        <v>0</v>
      </c>
      <c r="U8" s="169">
        <f t="shared" si="4"/>
        <v>0</v>
      </c>
      <c r="V8" s="172"/>
      <c r="W8" s="120">
        <f t="shared" si="5"/>
        <v>80506.8</v>
      </c>
      <c r="X8" s="173">
        <f t="shared" si="6"/>
        <v>0</v>
      </c>
    </row>
    <row r="9" spans="1:25" s="110" customFormat="1" ht="31.2">
      <c r="A9" s="228" t="s">
        <v>31</v>
      </c>
      <c r="B9" s="144" t="s">
        <v>32</v>
      </c>
      <c r="C9" s="145" t="s">
        <v>33</v>
      </c>
      <c r="D9" s="210" t="s">
        <v>16</v>
      </c>
      <c r="E9" s="146">
        <f>50160*2*0.5</f>
        <v>50160</v>
      </c>
      <c r="F9" s="147">
        <v>0</v>
      </c>
      <c r="G9" s="211" t="s">
        <v>304</v>
      </c>
      <c r="H9" s="146">
        <v>0</v>
      </c>
      <c r="I9" s="147">
        <f t="shared" si="0"/>
        <v>0</v>
      </c>
      <c r="J9" s="148"/>
      <c r="K9" s="146">
        <v>0</v>
      </c>
      <c r="L9" s="147">
        <f t="shared" si="1"/>
        <v>0</v>
      </c>
      <c r="M9" s="148"/>
      <c r="N9" s="146">
        <v>0</v>
      </c>
      <c r="O9" s="147">
        <f t="shared" si="2"/>
        <v>0</v>
      </c>
      <c r="P9" s="148"/>
      <c r="Q9" s="146">
        <f t="shared" si="7"/>
        <v>3511.2000000000003</v>
      </c>
      <c r="R9" s="147">
        <f t="shared" si="3"/>
        <v>0</v>
      </c>
      <c r="S9" s="212" t="s">
        <v>25</v>
      </c>
      <c r="T9" s="149">
        <v>0</v>
      </c>
      <c r="U9" s="147">
        <f t="shared" si="4"/>
        <v>0</v>
      </c>
      <c r="V9" s="150"/>
      <c r="W9" s="117">
        <f t="shared" si="5"/>
        <v>53671.199999999997</v>
      </c>
      <c r="X9" s="151">
        <f t="shared" si="6"/>
        <v>0</v>
      </c>
    </row>
    <row r="10" spans="1:25" s="110" customFormat="1" ht="37.950000000000003" customHeight="1">
      <c r="A10" s="229"/>
      <c r="B10" s="152" t="s">
        <v>34</v>
      </c>
      <c r="C10" s="153" t="s">
        <v>35</v>
      </c>
      <c r="D10" s="105" t="s">
        <v>20</v>
      </c>
      <c r="E10" s="154">
        <v>12771</v>
      </c>
      <c r="F10" s="155">
        <v>0</v>
      </c>
      <c r="G10" s="156" t="s">
        <v>21</v>
      </c>
      <c r="H10" s="154">
        <v>0</v>
      </c>
      <c r="I10" s="155">
        <f t="shared" si="0"/>
        <v>0</v>
      </c>
      <c r="J10" s="156"/>
      <c r="K10" s="154">
        <v>0</v>
      </c>
      <c r="L10" s="155">
        <f t="shared" si="1"/>
        <v>0</v>
      </c>
      <c r="M10" s="156"/>
      <c r="N10" s="154">
        <v>0</v>
      </c>
      <c r="O10" s="155">
        <f t="shared" si="2"/>
        <v>0</v>
      </c>
      <c r="P10" s="156"/>
      <c r="Q10" s="154">
        <f t="shared" si="7"/>
        <v>893.97000000000014</v>
      </c>
      <c r="R10" s="155">
        <f t="shared" si="3"/>
        <v>0</v>
      </c>
      <c r="S10" s="156" t="s">
        <v>25</v>
      </c>
      <c r="T10" s="157">
        <v>0</v>
      </c>
      <c r="U10" s="155">
        <f t="shared" si="4"/>
        <v>0</v>
      </c>
      <c r="V10" s="158"/>
      <c r="W10" s="118">
        <f t="shared" ref="W10:W73" si="8">E10+H10+K10+N10+Q10+T10</f>
        <v>13664.97</v>
      </c>
      <c r="X10" s="159">
        <f t="shared" ref="X10:X73" si="9">F10+I10+L10+O10+R10+U10</f>
        <v>0</v>
      </c>
    </row>
    <row r="11" spans="1:25" s="110" customFormat="1" ht="63" customHeight="1">
      <c r="A11" s="229"/>
      <c r="B11" s="152" t="s">
        <v>36</v>
      </c>
      <c r="C11" s="160" t="s">
        <v>321</v>
      </c>
      <c r="D11" s="105" t="s">
        <v>37</v>
      </c>
      <c r="E11" s="154">
        <v>0</v>
      </c>
      <c r="F11" s="155">
        <v>0</v>
      </c>
      <c r="G11" s="156"/>
      <c r="H11" s="154">
        <v>110000</v>
      </c>
      <c r="I11" s="155">
        <f t="shared" si="0"/>
        <v>24200</v>
      </c>
      <c r="J11" s="184" t="s">
        <v>312</v>
      </c>
      <c r="K11" s="154">
        <v>0</v>
      </c>
      <c r="L11" s="155">
        <f t="shared" si="1"/>
        <v>0</v>
      </c>
      <c r="M11" s="156"/>
      <c r="N11" s="154">
        <v>0</v>
      </c>
      <c r="O11" s="155">
        <f t="shared" si="2"/>
        <v>0</v>
      </c>
      <c r="P11" s="156"/>
      <c r="Q11" s="154">
        <f t="shared" si="7"/>
        <v>7700.0000000000009</v>
      </c>
      <c r="R11" s="155">
        <f t="shared" si="3"/>
        <v>1694.0000000000002</v>
      </c>
      <c r="S11" s="174" t="s">
        <v>38</v>
      </c>
      <c r="T11" s="157">
        <v>0</v>
      </c>
      <c r="U11" s="155">
        <f t="shared" si="4"/>
        <v>0</v>
      </c>
      <c r="V11" s="158"/>
      <c r="W11" s="118">
        <f t="shared" si="8"/>
        <v>117700</v>
      </c>
      <c r="X11" s="159">
        <f t="shared" si="9"/>
        <v>25894</v>
      </c>
      <c r="Y11" s="113">
        <f>SUM(W11:X11)</f>
        <v>143594</v>
      </c>
    </row>
    <row r="12" spans="1:25" s="110" customFormat="1" ht="31.2">
      <c r="A12" s="229"/>
      <c r="B12" s="152" t="s">
        <v>39</v>
      </c>
      <c r="C12" s="153" t="s">
        <v>40</v>
      </c>
      <c r="D12" s="105" t="s">
        <v>16</v>
      </c>
      <c r="E12" s="154">
        <f>50160*2*0.3</f>
        <v>30096</v>
      </c>
      <c r="F12" s="155">
        <v>0</v>
      </c>
      <c r="G12" s="184" t="s">
        <v>303</v>
      </c>
      <c r="H12" s="154">
        <v>0</v>
      </c>
      <c r="I12" s="155">
        <f t="shared" si="0"/>
        <v>0</v>
      </c>
      <c r="J12" s="156"/>
      <c r="K12" s="154">
        <v>0</v>
      </c>
      <c r="L12" s="155">
        <f t="shared" si="1"/>
        <v>0</v>
      </c>
      <c r="M12" s="156"/>
      <c r="N12" s="154">
        <v>0</v>
      </c>
      <c r="O12" s="155">
        <f t="shared" si="2"/>
        <v>0</v>
      </c>
      <c r="P12" s="156"/>
      <c r="Q12" s="154">
        <f t="shared" si="7"/>
        <v>2106.7200000000003</v>
      </c>
      <c r="R12" s="155">
        <f t="shared" si="3"/>
        <v>0</v>
      </c>
      <c r="S12" s="156" t="s">
        <v>41</v>
      </c>
      <c r="T12" s="157">
        <v>0</v>
      </c>
      <c r="U12" s="155">
        <f t="shared" si="4"/>
        <v>0</v>
      </c>
      <c r="V12" s="158"/>
      <c r="W12" s="118">
        <f t="shared" si="8"/>
        <v>32202.720000000001</v>
      </c>
      <c r="X12" s="159">
        <f t="shared" si="9"/>
        <v>0</v>
      </c>
    </row>
    <row r="13" spans="1:25" s="110" customFormat="1" ht="62.4">
      <c r="A13" s="230"/>
      <c r="B13" s="167" t="s">
        <v>42</v>
      </c>
      <c r="C13" s="168" t="s">
        <v>43</v>
      </c>
      <c r="D13" s="106" t="s">
        <v>44</v>
      </c>
      <c r="E13" s="123">
        <v>6270</v>
      </c>
      <c r="F13" s="169">
        <v>0</v>
      </c>
      <c r="G13" s="217" t="s">
        <v>249</v>
      </c>
      <c r="H13" s="123">
        <v>0</v>
      </c>
      <c r="I13" s="169">
        <f t="shared" si="0"/>
        <v>0</v>
      </c>
      <c r="J13" s="170"/>
      <c r="K13" s="123">
        <v>0</v>
      </c>
      <c r="L13" s="169">
        <f t="shared" si="1"/>
        <v>0</v>
      </c>
      <c r="M13" s="170"/>
      <c r="N13" s="123">
        <v>0</v>
      </c>
      <c r="O13" s="169">
        <f t="shared" si="2"/>
        <v>0</v>
      </c>
      <c r="P13" s="170"/>
      <c r="Q13" s="123">
        <f t="shared" si="7"/>
        <v>438.90000000000003</v>
      </c>
      <c r="R13" s="169">
        <f t="shared" si="3"/>
        <v>0</v>
      </c>
      <c r="S13" s="216" t="s">
        <v>25</v>
      </c>
      <c r="T13" s="171">
        <v>0</v>
      </c>
      <c r="U13" s="169">
        <f t="shared" si="4"/>
        <v>0</v>
      </c>
      <c r="V13" s="172"/>
      <c r="W13" s="120">
        <f t="shared" si="8"/>
        <v>6708.9</v>
      </c>
      <c r="X13" s="173">
        <f t="shared" si="9"/>
        <v>0</v>
      </c>
    </row>
    <row r="14" spans="1:25" s="110" customFormat="1" ht="67.95" customHeight="1">
      <c r="A14" s="228" t="s">
        <v>46</v>
      </c>
      <c r="B14" s="144" t="s">
        <v>47</v>
      </c>
      <c r="C14" s="145" t="s">
        <v>322</v>
      </c>
      <c r="D14" s="107" t="s">
        <v>20</v>
      </c>
      <c r="E14" s="146">
        <v>34056</v>
      </c>
      <c r="F14" s="147">
        <v>0</v>
      </c>
      <c r="G14" s="148" t="s">
        <v>48</v>
      </c>
      <c r="H14" s="146">
        <v>1700000</v>
      </c>
      <c r="I14" s="147">
        <f t="shared" si="0"/>
        <v>374000</v>
      </c>
      <c r="J14" s="175" t="s">
        <v>49</v>
      </c>
      <c r="K14" s="146">
        <v>0</v>
      </c>
      <c r="L14" s="147">
        <f t="shared" si="1"/>
        <v>0</v>
      </c>
      <c r="M14" s="148"/>
      <c r="N14" s="146">
        <v>0</v>
      </c>
      <c r="O14" s="147">
        <f t="shared" si="2"/>
        <v>0</v>
      </c>
      <c r="P14" s="148"/>
      <c r="Q14" s="146">
        <f t="shared" si="7"/>
        <v>121383.92000000001</v>
      </c>
      <c r="R14" s="147">
        <f t="shared" si="3"/>
        <v>26180.000000000004</v>
      </c>
      <c r="S14" s="148" t="s">
        <v>50</v>
      </c>
      <c r="T14" s="149">
        <v>0</v>
      </c>
      <c r="U14" s="147">
        <f t="shared" si="4"/>
        <v>0</v>
      </c>
      <c r="V14" s="150"/>
      <c r="W14" s="117">
        <f t="shared" si="8"/>
        <v>1855439.92</v>
      </c>
      <c r="X14" s="151">
        <f t="shared" si="9"/>
        <v>400180</v>
      </c>
      <c r="Y14" s="113">
        <f>SUM(W14:X14)</f>
        <v>2255619.92</v>
      </c>
    </row>
    <row r="15" spans="1:25" s="110" customFormat="1" ht="46.8">
      <c r="A15" s="229"/>
      <c r="B15" s="152" t="s">
        <v>51</v>
      </c>
      <c r="C15" s="153" t="s">
        <v>52</v>
      </c>
      <c r="D15" s="105" t="s">
        <v>20</v>
      </c>
      <c r="E15" s="154">
        <v>34056</v>
      </c>
      <c r="F15" s="155">
        <v>0</v>
      </c>
      <c r="G15" s="156" t="s">
        <v>48</v>
      </c>
      <c r="H15" s="154">
        <v>0</v>
      </c>
      <c r="I15" s="155">
        <f t="shared" si="0"/>
        <v>0</v>
      </c>
      <c r="J15" s="156"/>
      <c r="K15" s="154">
        <v>0</v>
      </c>
      <c r="L15" s="155">
        <f t="shared" si="1"/>
        <v>0</v>
      </c>
      <c r="M15" s="156"/>
      <c r="N15" s="154">
        <v>0</v>
      </c>
      <c r="O15" s="155">
        <f t="shared" si="2"/>
        <v>0</v>
      </c>
      <c r="P15" s="156"/>
      <c r="Q15" s="154">
        <f t="shared" si="7"/>
        <v>2383.92</v>
      </c>
      <c r="R15" s="155">
        <f t="shared" si="3"/>
        <v>0</v>
      </c>
      <c r="S15" s="184" t="s">
        <v>25</v>
      </c>
      <c r="T15" s="157">
        <v>0</v>
      </c>
      <c r="U15" s="155">
        <f t="shared" si="4"/>
        <v>0</v>
      </c>
      <c r="V15" s="158"/>
      <c r="W15" s="118">
        <f t="shared" si="8"/>
        <v>36439.919999999998</v>
      </c>
      <c r="X15" s="159">
        <f t="shared" si="9"/>
        <v>0</v>
      </c>
      <c r="Y15" s="113">
        <f t="shared" ref="Y15:Y26" si="10">SUM(W15:X15)</f>
        <v>36439.919999999998</v>
      </c>
    </row>
    <row r="16" spans="1:25" s="110" customFormat="1" ht="31.2">
      <c r="A16" s="229"/>
      <c r="B16" s="152" t="s">
        <v>53</v>
      </c>
      <c r="C16" s="153" t="s">
        <v>54</v>
      </c>
      <c r="D16" s="105" t="s">
        <v>16</v>
      </c>
      <c r="E16" s="154">
        <f>50160*2*0.4</f>
        <v>40128</v>
      </c>
      <c r="F16" s="155">
        <v>0</v>
      </c>
      <c r="G16" s="184" t="s">
        <v>308</v>
      </c>
      <c r="H16" s="154">
        <v>280000</v>
      </c>
      <c r="I16" s="155">
        <f t="shared" si="0"/>
        <v>61600</v>
      </c>
      <c r="J16" s="225" t="s">
        <v>316</v>
      </c>
      <c r="K16" s="154">
        <v>0</v>
      </c>
      <c r="L16" s="155">
        <f t="shared" si="1"/>
        <v>0</v>
      </c>
      <c r="M16" s="156"/>
      <c r="N16" s="154">
        <v>0</v>
      </c>
      <c r="O16" s="155">
        <f t="shared" si="2"/>
        <v>0</v>
      </c>
      <c r="P16" s="156"/>
      <c r="Q16" s="154">
        <f t="shared" si="7"/>
        <v>22408.960000000003</v>
      </c>
      <c r="R16" s="155">
        <f t="shared" si="3"/>
        <v>4312</v>
      </c>
      <c r="S16" s="156" t="s">
        <v>55</v>
      </c>
      <c r="T16" s="157">
        <v>0</v>
      </c>
      <c r="U16" s="155">
        <f t="shared" si="4"/>
        <v>0</v>
      </c>
      <c r="V16" s="158"/>
      <c r="W16" s="118">
        <f t="shared" si="8"/>
        <v>342536.96000000002</v>
      </c>
      <c r="X16" s="159">
        <f t="shared" si="9"/>
        <v>65912</v>
      </c>
      <c r="Y16" s="113">
        <f t="shared" si="10"/>
        <v>408448.96</v>
      </c>
    </row>
    <row r="17" spans="1:25" s="110" customFormat="1" ht="66.75" customHeight="1">
      <c r="A17" s="229"/>
      <c r="B17" s="152" t="s">
        <v>56</v>
      </c>
      <c r="C17" s="153" t="s">
        <v>57</v>
      </c>
      <c r="D17" s="105" t="s">
        <v>44</v>
      </c>
      <c r="E17" s="154">
        <v>6270</v>
      </c>
      <c r="F17" s="155">
        <v>0</v>
      </c>
      <c r="G17" s="218" t="s">
        <v>250</v>
      </c>
      <c r="H17" s="154">
        <v>15000</v>
      </c>
      <c r="I17" s="155">
        <f t="shared" si="0"/>
        <v>3300</v>
      </c>
      <c r="J17" s="219" t="s">
        <v>243</v>
      </c>
      <c r="K17" s="154">
        <v>0</v>
      </c>
      <c r="L17" s="155">
        <f t="shared" si="1"/>
        <v>0</v>
      </c>
      <c r="M17" s="156"/>
      <c r="N17" s="154">
        <v>0</v>
      </c>
      <c r="O17" s="155">
        <f t="shared" si="2"/>
        <v>0</v>
      </c>
      <c r="P17" s="156"/>
      <c r="Q17" s="154">
        <f t="shared" si="7"/>
        <v>1488.9</v>
      </c>
      <c r="R17" s="155">
        <f t="shared" si="3"/>
        <v>231.00000000000003</v>
      </c>
      <c r="S17" s="156" t="s">
        <v>45</v>
      </c>
      <c r="T17" s="157">
        <v>0</v>
      </c>
      <c r="U17" s="155">
        <f t="shared" si="4"/>
        <v>0</v>
      </c>
      <c r="V17" s="158"/>
      <c r="W17" s="118">
        <f t="shared" si="8"/>
        <v>22758.9</v>
      </c>
      <c r="X17" s="159">
        <f t="shared" si="9"/>
        <v>3531</v>
      </c>
      <c r="Y17" s="113">
        <f t="shared" si="10"/>
        <v>26289.9</v>
      </c>
    </row>
    <row r="18" spans="1:25" s="110" customFormat="1" ht="84" customHeight="1">
      <c r="A18" s="229"/>
      <c r="B18" s="161" t="s">
        <v>58</v>
      </c>
      <c r="C18" s="162" t="s">
        <v>323</v>
      </c>
      <c r="D18" s="105" t="s">
        <v>59</v>
      </c>
      <c r="E18" s="122">
        <f>50160/12*4</f>
        <v>16720</v>
      </c>
      <c r="F18" s="124">
        <v>0</v>
      </c>
      <c r="G18" s="163" t="s">
        <v>60</v>
      </c>
      <c r="H18" s="122">
        <v>35000</v>
      </c>
      <c r="I18" s="124">
        <f t="shared" si="0"/>
        <v>7700</v>
      </c>
      <c r="J18" s="163" t="s">
        <v>61</v>
      </c>
      <c r="K18" s="122">
        <v>0</v>
      </c>
      <c r="L18" s="124">
        <f t="shared" si="1"/>
        <v>0</v>
      </c>
      <c r="M18" s="163"/>
      <c r="N18" s="122">
        <v>0</v>
      </c>
      <c r="O18" s="124">
        <f t="shared" si="2"/>
        <v>0</v>
      </c>
      <c r="P18" s="163"/>
      <c r="Q18" s="122">
        <f t="shared" si="7"/>
        <v>3620.4000000000005</v>
      </c>
      <c r="R18" s="124">
        <f t="shared" si="3"/>
        <v>539</v>
      </c>
      <c r="S18" s="214" t="s">
        <v>264</v>
      </c>
      <c r="T18" s="164">
        <v>0</v>
      </c>
      <c r="U18" s="124">
        <f t="shared" si="4"/>
        <v>0</v>
      </c>
      <c r="V18" s="165"/>
      <c r="W18" s="119">
        <f t="shared" si="8"/>
        <v>55340.4</v>
      </c>
      <c r="X18" s="166">
        <f t="shared" si="9"/>
        <v>8239</v>
      </c>
      <c r="Y18" s="113">
        <f t="shared" si="10"/>
        <v>63579.4</v>
      </c>
    </row>
    <row r="19" spans="1:25" s="110" customFormat="1" ht="79.05" customHeight="1">
      <c r="A19" s="229"/>
      <c r="B19" s="161" t="s">
        <v>62</v>
      </c>
      <c r="C19" s="162" t="s">
        <v>63</v>
      </c>
      <c r="D19" s="105" t="s">
        <v>64</v>
      </c>
      <c r="E19" s="122">
        <v>8360</v>
      </c>
      <c r="F19" s="124">
        <v>0</v>
      </c>
      <c r="G19" s="163" t="s">
        <v>65</v>
      </c>
      <c r="H19" s="122">
        <v>0</v>
      </c>
      <c r="I19" s="124">
        <f t="shared" si="0"/>
        <v>0</v>
      </c>
      <c r="J19" s="163"/>
      <c r="K19" s="122">
        <v>0</v>
      </c>
      <c r="L19" s="124">
        <f t="shared" si="1"/>
        <v>0</v>
      </c>
      <c r="M19" s="163"/>
      <c r="N19" s="122">
        <v>0</v>
      </c>
      <c r="O19" s="124">
        <f t="shared" si="2"/>
        <v>0</v>
      </c>
      <c r="P19" s="163"/>
      <c r="Q19" s="122">
        <f t="shared" si="7"/>
        <v>585.20000000000005</v>
      </c>
      <c r="R19" s="124">
        <f t="shared" si="3"/>
        <v>0</v>
      </c>
      <c r="S19" s="214" t="s">
        <v>25</v>
      </c>
      <c r="T19" s="164">
        <v>0</v>
      </c>
      <c r="U19" s="124">
        <f t="shared" si="4"/>
        <v>0</v>
      </c>
      <c r="V19" s="165"/>
      <c r="W19" s="119">
        <f t="shared" si="8"/>
        <v>8945.2000000000007</v>
      </c>
      <c r="X19" s="166">
        <f t="shared" si="9"/>
        <v>0</v>
      </c>
      <c r="Y19" s="113">
        <f t="shared" si="10"/>
        <v>8945.2000000000007</v>
      </c>
    </row>
    <row r="20" spans="1:25" s="110" customFormat="1" ht="34.049999999999997" customHeight="1">
      <c r="A20" s="229"/>
      <c r="B20" s="152" t="s">
        <v>67</v>
      </c>
      <c r="C20" s="153" t="s">
        <v>68</v>
      </c>
      <c r="D20" s="220" t="s">
        <v>29</v>
      </c>
      <c r="E20" s="154">
        <v>50160</v>
      </c>
      <c r="F20" s="155">
        <v>0</v>
      </c>
      <c r="G20" s="156" t="s">
        <v>69</v>
      </c>
      <c r="H20" s="154">
        <v>0</v>
      </c>
      <c r="I20" s="155">
        <f t="shared" si="0"/>
        <v>0</v>
      </c>
      <c r="J20" s="156"/>
      <c r="K20" s="154">
        <v>0</v>
      </c>
      <c r="L20" s="155">
        <f t="shared" si="1"/>
        <v>0</v>
      </c>
      <c r="M20" s="156"/>
      <c r="N20" s="154">
        <v>0</v>
      </c>
      <c r="O20" s="155">
        <f t="shared" si="2"/>
        <v>0</v>
      </c>
      <c r="P20" s="156"/>
      <c r="Q20" s="154">
        <f t="shared" si="7"/>
        <v>3511.2000000000003</v>
      </c>
      <c r="R20" s="155">
        <f t="shared" si="3"/>
        <v>0</v>
      </c>
      <c r="S20" s="181" t="s">
        <v>25</v>
      </c>
      <c r="T20" s="157">
        <v>0</v>
      </c>
      <c r="U20" s="155">
        <f t="shared" si="4"/>
        <v>0</v>
      </c>
      <c r="V20" s="158"/>
      <c r="W20" s="118">
        <f t="shared" si="8"/>
        <v>53671.199999999997</v>
      </c>
      <c r="X20" s="159">
        <f t="shared" si="9"/>
        <v>0</v>
      </c>
      <c r="Y20" s="113">
        <f t="shared" si="10"/>
        <v>53671.199999999997</v>
      </c>
    </row>
    <row r="21" spans="1:25" s="110" customFormat="1" ht="31.2">
      <c r="A21" s="229"/>
      <c r="B21" s="161" t="s">
        <v>70</v>
      </c>
      <c r="C21" s="162" t="s">
        <v>71</v>
      </c>
      <c r="D21" s="108" t="s">
        <v>72</v>
      </c>
      <c r="E21" s="122">
        <v>4180</v>
      </c>
      <c r="F21" s="124">
        <v>0</v>
      </c>
      <c r="G21" s="163" t="s">
        <v>73</v>
      </c>
      <c r="H21" s="122">
        <v>0</v>
      </c>
      <c r="I21" s="124">
        <f t="shared" si="0"/>
        <v>0</v>
      </c>
      <c r="J21" s="163"/>
      <c r="K21" s="122">
        <v>0</v>
      </c>
      <c r="L21" s="124">
        <f t="shared" si="1"/>
        <v>0</v>
      </c>
      <c r="M21" s="163"/>
      <c r="N21" s="122">
        <v>0</v>
      </c>
      <c r="O21" s="124">
        <f t="shared" si="2"/>
        <v>0</v>
      </c>
      <c r="P21" s="163"/>
      <c r="Q21" s="122">
        <f t="shared" si="7"/>
        <v>292.60000000000002</v>
      </c>
      <c r="R21" s="124">
        <f t="shared" si="3"/>
        <v>0</v>
      </c>
      <c r="S21" s="214" t="s">
        <v>25</v>
      </c>
      <c r="T21" s="164">
        <v>0</v>
      </c>
      <c r="U21" s="124">
        <f t="shared" si="4"/>
        <v>0</v>
      </c>
      <c r="V21" s="165"/>
      <c r="W21" s="119">
        <f t="shared" si="8"/>
        <v>4472.6000000000004</v>
      </c>
      <c r="X21" s="166">
        <f t="shared" si="9"/>
        <v>0</v>
      </c>
      <c r="Y21" s="113">
        <f t="shared" si="10"/>
        <v>4472.6000000000004</v>
      </c>
    </row>
    <row r="22" spans="1:25" s="110" customFormat="1" ht="180" customHeight="1">
      <c r="A22" s="229"/>
      <c r="B22" s="161" t="s">
        <v>74</v>
      </c>
      <c r="C22" s="162" t="s">
        <v>75</v>
      </c>
      <c r="D22" s="108" t="s">
        <v>76</v>
      </c>
      <c r="E22" s="122">
        <v>33440</v>
      </c>
      <c r="F22" s="124">
        <v>0</v>
      </c>
      <c r="G22" s="214" t="s">
        <v>77</v>
      </c>
      <c r="H22" s="122">
        <v>0</v>
      </c>
      <c r="I22" s="124">
        <f>0.22*H22</f>
        <v>0</v>
      </c>
      <c r="J22" s="163"/>
      <c r="K22" s="122">
        <v>0</v>
      </c>
      <c r="L22" s="124">
        <f t="shared" si="1"/>
        <v>0</v>
      </c>
      <c r="M22" s="163"/>
      <c r="N22" s="122">
        <v>0</v>
      </c>
      <c r="O22" s="124">
        <f t="shared" si="2"/>
        <v>0</v>
      </c>
      <c r="P22" s="163"/>
      <c r="Q22" s="122">
        <f t="shared" si="7"/>
        <v>2340.8000000000002</v>
      </c>
      <c r="R22" s="124">
        <f t="shared" si="3"/>
        <v>0</v>
      </c>
      <c r="S22" s="214" t="s">
        <v>25</v>
      </c>
      <c r="T22" s="164">
        <v>0</v>
      </c>
      <c r="U22" s="124">
        <f t="shared" si="4"/>
        <v>0</v>
      </c>
      <c r="V22" s="165"/>
      <c r="W22" s="119">
        <f t="shared" si="8"/>
        <v>35780.800000000003</v>
      </c>
      <c r="X22" s="166">
        <f t="shared" si="9"/>
        <v>0</v>
      </c>
      <c r="Y22" s="113">
        <f t="shared" si="10"/>
        <v>35780.800000000003</v>
      </c>
    </row>
    <row r="23" spans="1:25" s="110" customFormat="1" ht="31.2">
      <c r="A23" s="229"/>
      <c r="B23" s="152" t="s">
        <v>78</v>
      </c>
      <c r="C23" s="153" t="s">
        <v>79</v>
      </c>
      <c r="D23" s="105" t="s">
        <v>80</v>
      </c>
      <c r="E23" s="154">
        <v>15706.67</v>
      </c>
      <c r="F23" s="155">
        <v>0</v>
      </c>
      <c r="G23" s="156" t="s">
        <v>81</v>
      </c>
      <c r="H23" s="154">
        <v>13000</v>
      </c>
      <c r="I23" s="155">
        <f t="shared" si="0"/>
        <v>2860</v>
      </c>
      <c r="J23" s="156" t="s">
        <v>82</v>
      </c>
      <c r="K23" s="154">
        <v>0</v>
      </c>
      <c r="L23" s="155">
        <f t="shared" si="1"/>
        <v>0</v>
      </c>
      <c r="M23" s="156"/>
      <c r="N23" s="154">
        <v>0</v>
      </c>
      <c r="O23" s="155">
        <f t="shared" si="2"/>
        <v>0</v>
      </c>
      <c r="P23" s="156"/>
      <c r="Q23" s="154">
        <f t="shared" si="7"/>
        <v>2009.4669000000001</v>
      </c>
      <c r="R23" s="155">
        <f t="shared" si="3"/>
        <v>200.20000000000002</v>
      </c>
      <c r="S23" s="156" t="s">
        <v>83</v>
      </c>
      <c r="T23" s="157">
        <v>0</v>
      </c>
      <c r="U23" s="155">
        <f t="shared" si="4"/>
        <v>0</v>
      </c>
      <c r="V23" s="158"/>
      <c r="W23" s="118">
        <f t="shared" si="8"/>
        <v>30716.136899999998</v>
      </c>
      <c r="X23" s="159">
        <f t="shared" si="9"/>
        <v>3060.2</v>
      </c>
      <c r="Y23" s="113">
        <f t="shared" si="10"/>
        <v>33776.336899999995</v>
      </c>
    </row>
    <row r="24" spans="1:25" s="110" customFormat="1" ht="31.2">
      <c r="A24" s="229"/>
      <c r="B24" s="161" t="s">
        <v>84</v>
      </c>
      <c r="C24" s="162" t="s">
        <v>85</v>
      </c>
      <c r="D24" s="108" t="s">
        <v>20</v>
      </c>
      <c r="E24" s="122">
        <v>34056</v>
      </c>
      <c r="F24" s="124">
        <v>0</v>
      </c>
      <c r="G24" s="163" t="s">
        <v>48</v>
      </c>
      <c r="H24" s="122">
        <v>0</v>
      </c>
      <c r="I24" s="124">
        <f t="shared" si="0"/>
        <v>0</v>
      </c>
      <c r="J24" s="163"/>
      <c r="K24" s="122">
        <v>0</v>
      </c>
      <c r="L24" s="124">
        <f t="shared" si="1"/>
        <v>0</v>
      </c>
      <c r="M24" s="163"/>
      <c r="N24" s="122">
        <v>0</v>
      </c>
      <c r="O24" s="124">
        <f t="shared" si="2"/>
        <v>0</v>
      </c>
      <c r="P24" s="163"/>
      <c r="Q24" s="122">
        <f t="shared" si="7"/>
        <v>2383.92</v>
      </c>
      <c r="R24" s="124">
        <f t="shared" si="3"/>
        <v>0</v>
      </c>
      <c r="S24" s="163" t="s">
        <v>25</v>
      </c>
      <c r="T24" s="164">
        <v>0</v>
      </c>
      <c r="U24" s="124">
        <f t="shared" si="4"/>
        <v>0</v>
      </c>
      <c r="V24" s="165"/>
      <c r="W24" s="119">
        <f t="shared" si="8"/>
        <v>36439.919999999998</v>
      </c>
      <c r="X24" s="166">
        <f t="shared" si="9"/>
        <v>0</v>
      </c>
      <c r="Y24" s="113">
        <f t="shared" si="10"/>
        <v>36439.919999999998</v>
      </c>
    </row>
    <row r="25" spans="1:25" s="110" customFormat="1" ht="46.8">
      <c r="A25" s="229"/>
      <c r="B25" s="161" t="s">
        <v>86</v>
      </c>
      <c r="C25" s="162" t="s">
        <v>324</v>
      </c>
      <c r="D25" s="108" t="s">
        <v>87</v>
      </c>
      <c r="E25" s="122">
        <v>15500</v>
      </c>
      <c r="F25" s="124">
        <v>0</v>
      </c>
      <c r="G25" s="163" t="s">
        <v>88</v>
      </c>
      <c r="H25" s="122">
        <v>6000</v>
      </c>
      <c r="I25" s="124">
        <f t="shared" si="0"/>
        <v>1320</v>
      </c>
      <c r="J25" s="163" t="s">
        <v>89</v>
      </c>
      <c r="K25" s="122">
        <v>0</v>
      </c>
      <c r="L25" s="124">
        <f t="shared" si="1"/>
        <v>0</v>
      </c>
      <c r="M25" s="163"/>
      <c r="N25" s="122">
        <v>0</v>
      </c>
      <c r="O25" s="124">
        <f t="shared" si="2"/>
        <v>0</v>
      </c>
      <c r="P25" s="163"/>
      <c r="Q25" s="122">
        <f t="shared" si="7"/>
        <v>1505.0000000000002</v>
      </c>
      <c r="R25" s="124">
        <f t="shared" si="3"/>
        <v>92.4</v>
      </c>
      <c r="S25" s="163" t="s">
        <v>90</v>
      </c>
      <c r="T25" s="164">
        <v>0</v>
      </c>
      <c r="U25" s="124">
        <f t="shared" si="4"/>
        <v>0</v>
      </c>
      <c r="V25" s="165"/>
      <c r="W25" s="119">
        <f t="shared" si="8"/>
        <v>23005</v>
      </c>
      <c r="X25" s="166">
        <f t="shared" si="9"/>
        <v>1412.4</v>
      </c>
      <c r="Y25" s="113">
        <f t="shared" si="10"/>
        <v>24417.4</v>
      </c>
    </row>
    <row r="26" spans="1:25" s="110" customFormat="1" ht="31.2">
      <c r="A26" s="230"/>
      <c r="B26" s="167" t="s">
        <v>91</v>
      </c>
      <c r="C26" s="168" t="s">
        <v>325</v>
      </c>
      <c r="D26" s="106" t="s">
        <v>37</v>
      </c>
      <c r="E26" s="123">
        <v>0</v>
      </c>
      <c r="F26" s="169">
        <v>0</v>
      </c>
      <c r="G26" s="170"/>
      <c r="H26" s="123">
        <f>60000</f>
        <v>60000</v>
      </c>
      <c r="I26" s="169">
        <f t="shared" si="0"/>
        <v>13200</v>
      </c>
      <c r="J26" s="170" t="s">
        <v>92</v>
      </c>
      <c r="K26" s="123">
        <v>0</v>
      </c>
      <c r="L26" s="169">
        <f t="shared" si="1"/>
        <v>0</v>
      </c>
      <c r="M26" s="170"/>
      <c r="N26" s="123">
        <v>0</v>
      </c>
      <c r="O26" s="169">
        <f t="shared" si="2"/>
        <v>0</v>
      </c>
      <c r="P26" s="170"/>
      <c r="Q26" s="123">
        <f t="shared" si="7"/>
        <v>4200</v>
      </c>
      <c r="R26" s="169">
        <f t="shared" si="3"/>
        <v>924.00000000000011</v>
      </c>
      <c r="S26" s="170" t="s">
        <v>38</v>
      </c>
      <c r="T26" s="171">
        <v>0</v>
      </c>
      <c r="U26" s="169">
        <f t="shared" si="4"/>
        <v>0</v>
      </c>
      <c r="V26" s="172"/>
      <c r="W26" s="120">
        <f t="shared" si="8"/>
        <v>64200</v>
      </c>
      <c r="X26" s="173">
        <f t="shared" si="9"/>
        <v>14124</v>
      </c>
      <c r="Y26" s="113">
        <f t="shared" si="10"/>
        <v>78324</v>
      </c>
    </row>
    <row r="27" spans="1:25" s="110" customFormat="1" ht="49.95" customHeight="1">
      <c r="A27" s="228" t="s">
        <v>93</v>
      </c>
      <c r="B27" s="144" t="s">
        <v>94</v>
      </c>
      <c r="C27" s="145" t="s">
        <v>95</v>
      </c>
      <c r="D27" s="221" t="s">
        <v>64</v>
      </c>
      <c r="E27" s="146">
        <v>4180</v>
      </c>
      <c r="F27" s="147">
        <v>0</v>
      </c>
      <c r="G27" s="226" t="s">
        <v>96</v>
      </c>
      <c r="H27" s="146">
        <v>0</v>
      </c>
      <c r="I27" s="147">
        <f t="shared" si="0"/>
        <v>0</v>
      </c>
      <c r="J27" s="148"/>
      <c r="K27" s="146">
        <v>0</v>
      </c>
      <c r="L27" s="147">
        <f t="shared" si="1"/>
        <v>0</v>
      </c>
      <c r="M27" s="148"/>
      <c r="N27" s="146">
        <v>0</v>
      </c>
      <c r="O27" s="147">
        <f t="shared" si="2"/>
        <v>0</v>
      </c>
      <c r="P27" s="148"/>
      <c r="Q27" s="146">
        <f t="shared" si="7"/>
        <v>292.60000000000002</v>
      </c>
      <c r="R27" s="147">
        <f t="shared" si="3"/>
        <v>0</v>
      </c>
      <c r="S27" s="212" t="s">
        <v>25</v>
      </c>
      <c r="T27" s="149">
        <v>0</v>
      </c>
      <c r="U27" s="147">
        <f t="shared" si="4"/>
        <v>0</v>
      </c>
      <c r="V27" s="150"/>
      <c r="W27" s="117">
        <f t="shared" si="8"/>
        <v>4472.6000000000004</v>
      </c>
      <c r="X27" s="151">
        <f t="shared" si="9"/>
        <v>0</v>
      </c>
    </row>
    <row r="28" spans="1:25" s="110" customFormat="1" ht="78">
      <c r="A28" s="229"/>
      <c r="B28" s="152" t="s">
        <v>97</v>
      </c>
      <c r="C28" s="153" t="s">
        <v>98</v>
      </c>
      <c r="D28" s="105" t="s">
        <v>37</v>
      </c>
      <c r="E28" s="154">
        <v>9300</v>
      </c>
      <c r="F28" s="155">
        <v>0</v>
      </c>
      <c r="G28" s="225" t="s">
        <v>99</v>
      </c>
      <c r="H28" s="154">
        <v>0</v>
      </c>
      <c r="I28" s="155">
        <f t="shared" si="0"/>
        <v>0</v>
      </c>
      <c r="J28" s="156"/>
      <c r="K28" s="154">
        <v>0</v>
      </c>
      <c r="L28" s="155">
        <f t="shared" si="1"/>
        <v>0</v>
      </c>
      <c r="M28" s="156"/>
      <c r="N28" s="154">
        <v>0</v>
      </c>
      <c r="O28" s="155">
        <f t="shared" si="2"/>
        <v>0</v>
      </c>
      <c r="P28" s="156"/>
      <c r="Q28" s="154">
        <f t="shared" si="7"/>
        <v>651.00000000000011</v>
      </c>
      <c r="R28" s="155">
        <f t="shared" si="3"/>
        <v>0</v>
      </c>
      <c r="S28" s="156" t="s">
        <v>25</v>
      </c>
      <c r="T28" s="157">
        <v>0</v>
      </c>
      <c r="U28" s="155">
        <f t="shared" si="4"/>
        <v>0</v>
      </c>
      <c r="V28" s="158"/>
      <c r="W28" s="118">
        <f t="shared" si="8"/>
        <v>9951</v>
      </c>
      <c r="X28" s="159">
        <f t="shared" si="9"/>
        <v>0</v>
      </c>
    </row>
    <row r="29" spans="1:25" s="110" customFormat="1" ht="67.95" customHeight="1">
      <c r="A29" s="229"/>
      <c r="B29" s="152" t="s">
        <v>100</v>
      </c>
      <c r="C29" s="153" t="s">
        <v>326</v>
      </c>
      <c r="D29" s="105" t="s">
        <v>16</v>
      </c>
      <c r="E29" s="154">
        <f>4*50160*2*0.5+2*44080*2</f>
        <v>376960</v>
      </c>
      <c r="F29" s="155">
        <v>0</v>
      </c>
      <c r="G29" s="184" t="s">
        <v>302</v>
      </c>
      <c r="H29" s="154">
        <v>3304310.33</v>
      </c>
      <c r="I29" s="155">
        <f t="shared" si="0"/>
        <v>726948.27260000003</v>
      </c>
      <c r="J29" s="184" t="s">
        <v>299</v>
      </c>
      <c r="K29" s="154">
        <v>0</v>
      </c>
      <c r="L29" s="155">
        <f t="shared" si="1"/>
        <v>0</v>
      </c>
      <c r="M29" s="156"/>
      <c r="N29" s="154">
        <v>0</v>
      </c>
      <c r="O29" s="155">
        <f t="shared" si="2"/>
        <v>0</v>
      </c>
      <c r="P29" s="156"/>
      <c r="Q29" s="154">
        <f t="shared" si="7"/>
        <v>257688.92310000004</v>
      </c>
      <c r="R29" s="155">
        <f t="shared" si="3"/>
        <v>50886.379082000007</v>
      </c>
      <c r="S29" s="156" t="s">
        <v>101</v>
      </c>
      <c r="T29" s="157">
        <v>0</v>
      </c>
      <c r="U29" s="155">
        <f t="shared" si="4"/>
        <v>0</v>
      </c>
      <c r="V29" s="158"/>
      <c r="W29" s="118">
        <f t="shared" si="8"/>
        <v>3938959.2531000003</v>
      </c>
      <c r="X29" s="159">
        <f t="shared" si="9"/>
        <v>777834.65168200003</v>
      </c>
      <c r="Y29" s="113">
        <f t="shared" ref="Y29:Y39" si="11">W29+X29</f>
        <v>4716793.904782</v>
      </c>
    </row>
    <row r="30" spans="1:25" s="110" customFormat="1" ht="145.05000000000001" customHeight="1">
      <c r="A30" s="229"/>
      <c r="B30" s="152" t="s">
        <v>102</v>
      </c>
      <c r="C30" s="153" t="s">
        <v>327</v>
      </c>
      <c r="D30" s="105" t="s">
        <v>44</v>
      </c>
      <c r="E30" s="154">
        <v>8360</v>
      </c>
      <c r="F30" s="155">
        <v>0</v>
      </c>
      <c r="G30" s="218" t="s">
        <v>251</v>
      </c>
      <c r="H30" s="154">
        <v>500000</v>
      </c>
      <c r="I30" s="155">
        <f t="shared" si="0"/>
        <v>110000</v>
      </c>
      <c r="J30" s="181" t="s">
        <v>261</v>
      </c>
      <c r="K30" s="154">
        <v>0</v>
      </c>
      <c r="L30" s="155">
        <f t="shared" si="1"/>
        <v>0</v>
      </c>
      <c r="M30" s="156"/>
      <c r="N30" s="154">
        <v>0</v>
      </c>
      <c r="O30" s="155">
        <f t="shared" si="2"/>
        <v>0</v>
      </c>
      <c r="P30" s="156"/>
      <c r="Q30" s="154">
        <f t="shared" si="7"/>
        <v>35585.200000000004</v>
      </c>
      <c r="R30" s="155">
        <f t="shared" si="3"/>
        <v>7700.0000000000009</v>
      </c>
      <c r="S30" s="219" t="s">
        <v>244</v>
      </c>
      <c r="T30" s="157">
        <v>0</v>
      </c>
      <c r="U30" s="155">
        <f t="shared" si="4"/>
        <v>0</v>
      </c>
      <c r="V30" s="158"/>
      <c r="W30" s="118">
        <f t="shared" si="8"/>
        <v>543945.19999999995</v>
      </c>
      <c r="X30" s="159">
        <f t="shared" si="9"/>
        <v>117700</v>
      </c>
      <c r="Y30" s="113">
        <f t="shared" si="11"/>
        <v>661645.19999999995</v>
      </c>
    </row>
    <row r="31" spans="1:25" s="110" customFormat="1" ht="142.94999999999999" customHeight="1">
      <c r="A31" s="229"/>
      <c r="B31" s="161" t="s">
        <v>103</v>
      </c>
      <c r="C31" s="162" t="s">
        <v>328</v>
      </c>
      <c r="D31" s="105" t="s">
        <v>59</v>
      </c>
      <c r="E31" s="122">
        <f>100320/2</f>
        <v>50160</v>
      </c>
      <c r="F31" s="124">
        <v>0</v>
      </c>
      <c r="G31" s="214" t="s">
        <v>274</v>
      </c>
      <c r="H31" s="122">
        <v>850000</v>
      </c>
      <c r="I31" s="124">
        <f t="shared" si="0"/>
        <v>187000</v>
      </c>
      <c r="J31" s="224" t="s">
        <v>265</v>
      </c>
      <c r="K31" s="122">
        <v>0</v>
      </c>
      <c r="L31" s="124">
        <f t="shared" si="1"/>
        <v>0</v>
      </c>
      <c r="M31" s="163"/>
      <c r="N31" s="122">
        <v>0</v>
      </c>
      <c r="O31" s="124">
        <f t="shared" si="2"/>
        <v>0</v>
      </c>
      <c r="P31" s="163"/>
      <c r="Q31" s="122">
        <f t="shared" si="7"/>
        <v>63011.200000000004</v>
      </c>
      <c r="R31" s="124">
        <f t="shared" si="3"/>
        <v>13090.000000000002</v>
      </c>
      <c r="S31" s="214" t="s">
        <v>264</v>
      </c>
      <c r="T31" s="164">
        <v>0</v>
      </c>
      <c r="U31" s="124">
        <f t="shared" si="4"/>
        <v>0</v>
      </c>
      <c r="V31" s="165"/>
      <c r="W31" s="119">
        <f t="shared" si="8"/>
        <v>963171.2</v>
      </c>
      <c r="X31" s="166">
        <f t="shared" si="9"/>
        <v>200090</v>
      </c>
      <c r="Y31" s="113">
        <f t="shared" si="11"/>
        <v>1163261.2</v>
      </c>
    </row>
    <row r="32" spans="1:25" s="110" customFormat="1" ht="196.05" customHeight="1">
      <c r="A32" s="229"/>
      <c r="B32" s="161" t="s">
        <v>104</v>
      </c>
      <c r="C32" s="162" t="s">
        <v>329</v>
      </c>
      <c r="D32" s="105" t="s">
        <v>64</v>
      </c>
      <c r="E32" s="122">
        <v>8360</v>
      </c>
      <c r="F32" s="124">
        <v>0</v>
      </c>
      <c r="G32" s="224" t="s">
        <v>105</v>
      </c>
      <c r="H32" s="122">
        <f>390600</f>
        <v>390600</v>
      </c>
      <c r="I32" s="124">
        <f>0.22*H32</f>
        <v>85932</v>
      </c>
      <c r="J32" s="224" t="s">
        <v>283</v>
      </c>
      <c r="K32" s="122">
        <v>0</v>
      </c>
      <c r="L32" s="124">
        <f t="shared" si="1"/>
        <v>0</v>
      </c>
      <c r="M32" s="163"/>
      <c r="N32" s="122">
        <v>0</v>
      </c>
      <c r="O32" s="124">
        <f t="shared" si="2"/>
        <v>0</v>
      </c>
      <c r="P32" s="163"/>
      <c r="Q32" s="122">
        <f t="shared" si="7"/>
        <v>27927.200000000004</v>
      </c>
      <c r="R32" s="124">
        <f t="shared" si="3"/>
        <v>6015.2400000000007</v>
      </c>
      <c r="S32" s="163" t="s">
        <v>106</v>
      </c>
      <c r="T32" s="164">
        <v>0</v>
      </c>
      <c r="U32" s="124">
        <f t="shared" si="4"/>
        <v>0</v>
      </c>
      <c r="V32" s="165"/>
      <c r="W32" s="119">
        <f t="shared" si="8"/>
        <v>426887.2</v>
      </c>
      <c r="X32" s="166">
        <f t="shared" si="9"/>
        <v>91947.24</v>
      </c>
      <c r="Y32" s="113">
        <f t="shared" si="11"/>
        <v>518834.44</v>
      </c>
    </row>
    <row r="33" spans="1:29" s="110" customFormat="1" ht="181.05" customHeight="1">
      <c r="A33" s="229"/>
      <c r="B33" s="152" t="s">
        <v>107</v>
      </c>
      <c r="C33" s="153" t="s">
        <v>330</v>
      </c>
      <c r="D33" s="220" t="s">
        <v>29</v>
      </c>
      <c r="E33" s="154">
        <f>752400/7.5</f>
        <v>100320</v>
      </c>
      <c r="F33" s="155">
        <v>0</v>
      </c>
      <c r="G33" s="225" t="s">
        <v>258</v>
      </c>
      <c r="H33" s="154">
        <v>3000000</v>
      </c>
      <c r="I33" s="155">
        <f t="shared" si="0"/>
        <v>660000</v>
      </c>
      <c r="J33" s="156" t="s">
        <v>245</v>
      </c>
      <c r="K33" s="154">
        <v>56393</v>
      </c>
      <c r="L33" s="155">
        <f t="shared" si="1"/>
        <v>12406.460000000001</v>
      </c>
      <c r="M33" s="156" t="s">
        <v>108</v>
      </c>
      <c r="N33" s="154">
        <v>57377</v>
      </c>
      <c r="O33" s="155">
        <f t="shared" si="2"/>
        <v>12622.94</v>
      </c>
      <c r="P33" s="225" t="s">
        <v>259</v>
      </c>
      <c r="Q33" s="154">
        <f t="shared" si="7"/>
        <v>224986.30000000002</v>
      </c>
      <c r="R33" s="155">
        <f t="shared" si="3"/>
        <v>47952.057999999997</v>
      </c>
      <c r="S33" s="225" t="s">
        <v>255</v>
      </c>
      <c r="T33" s="157">
        <v>0</v>
      </c>
      <c r="U33" s="155">
        <f t="shared" si="4"/>
        <v>0</v>
      </c>
      <c r="V33" s="158"/>
      <c r="W33" s="118">
        <f t="shared" si="8"/>
        <v>3439076.3</v>
      </c>
      <c r="X33" s="159">
        <f t="shared" si="9"/>
        <v>732981.45799999987</v>
      </c>
      <c r="Y33" s="113">
        <f t="shared" si="11"/>
        <v>4172057.7579999994</v>
      </c>
    </row>
    <row r="34" spans="1:29" s="110" customFormat="1" ht="31.2">
      <c r="A34" s="229"/>
      <c r="B34" s="152" t="s">
        <v>109</v>
      </c>
      <c r="C34" s="153" t="s">
        <v>331</v>
      </c>
      <c r="D34" s="105" t="s">
        <v>72</v>
      </c>
      <c r="E34" s="154">
        <v>0</v>
      </c>
      <c r="F34" s="155">
        <v>0</v>
      </c>
      <c r="G34" s="156"/>
      <c r="H34" s="154">
        <f>141000+16000</f>
        <v>157000</v>
      </c>
      <c r="I34" s="155">
        <f t="shared" si="0"/>
        <v>34540</v>
      </c>
      <c r="J34" s="225" t="s">
        <v>275</v>
      </c>
      <c r="K34" s="154">
        <v>0</v>
      </c>
      <c r="L34" s="155">
        <f t="shared" si="1"/>
        <v>0</v>
      </c>
      <c r="M34" s="156"/>
      <c r="N34" s="154">
        <v>0</v>
      </c>
      <c r="O34" s="155">
        <f t="shared" si="2"/>
        <v>0</v>
      </c>
      <c r="P34" s="156"/>
      <c r="Q34" s="154">
        <f t="shared" si="7"/>
        <v>10990.000000000002</v>
      </c>
      <c r="R34" s="155">
        <f t="shared" si="3"/>
        <v>2417.8000000000002</v>
      </c>
      <c r="S34" s="156" t="s">
        <v>110</v>
      </c>
      <c r="T34" s="157">
        <v>0</v>
      </c>
      <c r="U34" s="155">
        <f t="shared" si="4"/>
        <v>0</v>
      </c>
      <c r="V34" s="158"/>
      <c r="W34" s="118">
        <f t="shared" si="8"/>
        <v>167990</v>
      </c>
      <c r="X34" s="159">
        <f t="shared" si="9"/>
        <v>36957.800000000003</v>
      </c>
      <c r="Y34" s="113">
        <f t="shared" si="11"/>
        <v>204947.8</v>
      </c>
    </row>
    <row r="35" spans="1:29" s="110" customFormat="1" ht="409.05" customHeight="1">
      <c r="A35" s="229"/>
      <c r="B35" s="152" t="s">
        <v>111</v>
      </c>
      <c r="C35" s="153" t="s">
        <v>332</v>
      </c>
      <c r="D35" s="105" t="s">
        <v>76</v>
      </c>
      <c r="E35" s="154">
        <v>58520</v>
      </c>
      <c r="F35" s="155">
        <v>0</v>
      </c>
      <c r="G35" s="156" t="s">
        <v>112</v>
      </c>
      <c r="H35" s="154">
        <f>4000000</f>
        <v>4000000</v>
      </c>
      <c r="I35" s="155">
        <f t="shared" si="0"/>
        <v>880000</v>
      </c>
      <c r="J35" s="181" t="s">
        <v>262</v>
      </c>
      <c r="K35" s="154">
        <v>0</v>
      </c>
      <c r="L35" s="155">
        <f t="shared" si="1"/>
        <v>0</v>
      </c>
      <c r="M35" s="156"/>
      <c r="N35" s="154">
        <v>0</v>
      </c>
      <c r="O35" s="155">
        <f t="shared" si="2"/>
        <v>0</v>
      </c>
      <c r="P35" s="156"/>
      <c r="Q35" s="154">
        <f t="shared" si="7"/>
        <v>284096.40000000002</v>
      </c>
      <c r="R35" s="155">
        <f t="shared" si="3"/>
        <v>61600.000000000007</v>
      </c>
      <c r="S35" s="181" t="s">
        <v>263</v>
      </c>
      <c r="T35" s="157">
        <v>0</v>
      </c>
      <c r="U35" s="155">
        <f t="shared" si="4"/>
        <v>0</v>
      </c>
      <c r="V35" s="158"/>
      <c r="W35" s="118">
        <f t="shared" si="8"/>
        <v>4342616.4000000004</v>
      </c>
      <c r="X35" s="159">
        <f t="shared" si="9"/>
        <v>941600</v>
      </c>
      <c r="Y35" s="113">
        <f t="shared" si="11"/>
        <v>5284216.4000000004</v>
      </c>
    </row>
    <row r="36" spans="1:29" s="110" customFormat="1" ht="343.2">
      <c r="A36" s="229"/>
      <c r="B36" s="161" t="s">
        <v>113</v>
      </c>
      <c r="C36" s="162" t="s">
        <v>333</v>
      </c>
      <c r="D36" s="108" t="s">
        <v>80</v>
      </c>
      <c r="E36" s="122">
        <v>188100</v>
      </c>
      <c r="F36" s="124">
        <v>0</v>
      </c>
      <c r="G36" s="208" t="s">
        <v>284</v>
      </c>
      <c r="H36" s="122">
        <v>1575000</v>
      </c>
      <c r="I36" s="124">
        <f t="shared" si="0"/>
        <v>346500</v>
      </c>
      <c r="J36" s="224" t="s">
        <v>276</v>
      </c>
      <c r="K36" s="122">
        <v>0</v>
      </c>
      <c r="L36" s="124">
        <f t="shared" si="1"/>
        <v>0</v>
      </c>
      <c r="M36" s="163"/>
      <c r="N36" s="122">
        <v>49600</v>
      </c>
      <c r="O36" s="124">
        <f t="shared" si="2"/>
        <v>10912</v>
      </c>
      <c r="P36" s="214" t="s">
        <v>277</v>
      </c>
      <c r="Q36" s="122">
        <f>0.07*(E36+H36+K36+N36+T36)</f>
        <v>126889.00000000001</v>
      </c>
      <c r="R36" s="124">
        <f t="shared" si="3"/>
        <v>25018.840000000004</v>
      </c>
      <c r="S36" s="214" t="s">
        <v>278</v>
      </c>
      <c r="T36" s="164">
        <v>0</v>
      </c>
      <c r="U36" s="124">
        <f t="shared" si="4"/>
        <v>0</v>
      </c>
      <c r="V36" s="165"/>
      <c r="W36" s="119">
        <f>E36+H36+K36+N36+Q36+T36</f>
        <v>1939589</v>
      </c>
      <c r="X36" s="166">
        <f t="shared" si="9"/>
        <v>382430.84</v>
      </c>
      <c r="Y36" s="113">
        <f t="shared" si="11"/>
        <v>2322019.84</v>
      </c>
      <c r="AA36" s="113">
        <f>SUM(H27:H39)</f>
        <v>19293361.969999999</v>
      </c>
      <c r="AB36" s="113">
        <f>SUM(I27:I39)</f>
        <v>4244539.6333999997</v>
      </c>
      <c r="AC36" s="113">
        <f>SUM(AA36:AB36)</f>
        <v>23537901.603399999</v>
      </c>
    </row>
    <row r="37" spans="1:29" s="110" customFormat="1" ht="31.2">
      <c r="A37" s="229"/>
      <c r="B37" s="161" t="s">
        <v>114</v>
      </c>
      <c r="C37" s="162" t="s">
        <v>334</v>
      </c>
      <c r="D37" s="108" t="s">
        <v>20</v>
      </c>
      <c r="E37" s="122">
        <f>51084*3.5</f>
        <v>178794</v>
      </c>
      <c r="F37" s="124">
        <v>0</v>
      </c>
      <c r="G37" s="224" t="s">
        <v>309</v>
      </c>
      <c r="H37" s="122">
        <f>1800000-5450</f>
        <v>1794550</v>
      </c>
      <c r="I37" s="124">
        <f t="shared" si="0"/>
        <v>394801</v>
      </c>
      <c r="J37" s="224" t="s">
        <v>310</v>
      </c>
      <c r="K37" s="122">
        <v>0</v>
      </c>
      <c r="L37" s="124">
        <f t="shared" si="1"/>
        <v>0</v>
      </c>
      <c r="M37" s="163"/>
      <c r="N37" s="122">
        <v>0</v>
      </c>
      <c r="O37" s="124">
        <f t="shared" si="2"/>
        <v>0</v>
      </c>
      <c r="P37" s="163"/>
      <c r="Q37" s="122">
        <f t="shared" si="7"/>
        <v>138134.08000000002</v>
      </c>
      <c r="R37" s="124">
        <f t="shared" si="3"/>
        <v>27636.070000000003</v>
      </c>
      <c r="S37" s="224" t="s">
        <v>50</v>
      </c>
      <c r="T37" s="164">
        <v>0</v>
      </c>
      <c r="U37" s="124">
        <f t="shared" si="4"/>
        <v>0</v>
      </c>
      <c r="V37" s="165"/>
      <c r="W37" s="119">
        <f t="shared" si="8"/>
        <v>2111478.08</v>
      </c>
      <c r="X37" s="166">
        <f t="shared" si="9"/>
        <v>422437.07</v>
      </c>
      <c r="Y37" s="113">
        <f t="shared" si="11"/>
        <v>2533915.15</v>
      </c>
    </row>
    <row r="38" spans="1:29" s="110" customFormat="1" ht="163.95" customHeight="1">
      <c r="A38" s="229"/>
      <c r="B38" s="161" t="s">
        <v>115</v>
      </c>
      <c r="C38" s="162" t="s">
        <v>335</v>
      </c>
      <c r="D38" s="108" t="s">
        <v>87</v>
      </c>
      <c r="E38" s="122">
        <v>108500</v>
      </c>
      <c r="F38" s="124">
        <v>0</v>
      </c>
      <c r="G38" s="214" t="s">
        <v>267</v>
      </c>
      <c r="H38" s="122">
        <v>3316000</v>
      </c>
      <c r="I38" s="124">
        <f t="shared" si="0"/>
        <v>729520</v>
      </c>
      <c r="J38" s="214" t="s">
        <v>268</v>
      </c>
      <c r="K38" s="122">
        <v>0</v>
      </c>
      <c r="L38" s="124">
        <f t="shared" si="1"/>
        <v>0</v>
      </c>
      <c r="M38" s="163"/>
      <c r="N38" s="122">
        <v>0</v>
      </c>
      <c r="O38" s="124">
        <f t="shared" si="2"/>
        <v>0</v>
      </c>
      <c r="P38" s="163"/>
      <c r="Q38" s="122">
        <f t="shared" si="7"/>
        <v>239715.00000000003</v>
      </c>
      <c r="R38" s="124">
        <f t="shared" si="3"/>
        <v>51066.400000000001</v>
      </c>
      <c r="S38" s="224" t="s">
        <v>116</v>
      </c>
      <c r="T38" s="164">
        <v>0</v>
      </c>
      <c r="U38" s="124">
        <f t="shared" si="4"/>
        <v>0</v>
      </c>
      <c r="V38" s="165"/>
      <c r="W38" s="119">
        <f t="shared" si="8"/>
        <v>3664215</v>
      </c>
      <c r="X38" s="166">
        <f t="shared" si="9"/>
        <v>780586.4</v>
      </c>
      <c r="Y38" s="113">
        <f t="shared" si="11"/>
        <v>4444801.4000000004</v>
      </c>
    </row>
    <row r="39" spans="1:29" s="110" customFormat="1" ht="109.2">
      <c r="A39" s="230"/>
      <c r="B39" s="167" t="s">
        <v>117</v>
      </c>
      <c r="C39" s="168" t="s">
        <v>336</v>
      </c>
      <c r="D39" s="106" t="s">
        <v>37</v>
      </c>
      <c r="E39" s="123">
        <v>130200</v>
      </c>
      <c r="F39" s="169">
        <v>0</v>
      </c>
      <c r="G39" s="170" t="s">
        <v>118</v>
      </c>
      <c r="H39" s="123">
        <v>405901.64</v>
      </c>
      <c r="I39" s="169">
        <f t="shared" si="0"/>
        <v>89298.360800000009</v>
      </c>
      <c r="J39" s="176" t="s">
        <v>248</v>
      </c>
      <c r="K39" s="123">
        <v>0</v>
      </c>
      <c r="L39" s="169">
        <f t="shared" si="1"/>
        <v>0</v>
      </c>
      <c r="M39" s="170"/>
      <c r="N39" s="123">
        <v>100000</v>
      </c>
      <c r="O39" s="169">
        <f t="shared" si="2"/>
        <v>22000</v>
      </c>
      <c r="P39" s="227" t="s">
        <v>287</v>
      </c>
      <c r="Q39" s="123">
        <f t="shared" si="7"/>
        <v>44527.114800000003</v>
      </c>
      <c r="R39" s="169">
        <f t="shared" si="3"/>
        <v>7790.8852560000014</v>
      </c>
      <c r="S39" s="170" t="s">
        <v>119</v>
      </c>
      <c r="T39" s="171">
        <v>0</v>
      </c>
      <c r="U39" s="169">
        <f t="shared" si="4"/>
        <v>0</v>
      </c>
      <c r="V39" s="172"/>
      <c r="W39" s="120">
        <f t="shared" si="8"/>
        <v>680628.7548</v>
      </c>
      <c r="X39" s="173">
        <f t="shared" si="9"/>
        <v>119089.246056</v>
      </c>
      <c r="Y39" s="113">
        <f t="shared" si="11"/>
        <v>799718.000856</v>
      </c>
    </row>
    <row r="40" spans="1:29" s="110" customFormat="1" ht="31.2">
      <c r="A40" s="228" t="s">
        <v>120</v>
      </c>
      <c r="B40" s="144" t="s">
        <v>121</v>
      </c>
      <c r="C40" s="145" t="s">
        <v>337</v>
      </c>
      <c r="D40" s="107" t="s">
        <v>80</v>
      </c>
      <c r="E40" s="146">
        <v>7853.33</v>
      </c>
      <c r="F40" s="147">
        <v>0</v>
      </c>
      <c r="G40" s="226" t="s">
        <v>285</v>
      </c>
      <c r="H40" s="146">
        <v>3500</v>
      </c>
      <c r="I40" s="147">
        <f t="shared" si="0"/>
        <v>770</v>
      </c>
      <c r="J40" s="148" t="s">
        <v>122</v>
      </c>
      <c r="K40" s="146">
        <v>0</v>
      </c>
      <c r="L40" s="147">
        <f t="shared" si="1"/>
        <v>0</v>
      </c>
      <c r="M40" s="148"/>
      <c r="N40" s="146">
        <v>0</v>
      </c>
      <c r="O40" s="147">
        <f t="shared" si="2"/>
        <v>0</v>
      </c>
      <c r="P40" s="148"/>
      <c r="Q40" s="146">
        <f t="shared" si="7"/>
        <v>794.73310000000004</v>
      </c>
      <c r="R40" s="147">
        <f t="shared" si="3"/>
        <v>53.900000000000006</v>
      </c>
      <c r="S40" s="148" t="s">
        <v>123</v>
      </c>
      <c r="T40" s="149">
        <v>0</v>
      </c>
      <c r="U40" s="147">
        <f t="shared" si="4"/>
        <v>0</v>
      </c>
      <c r="V40" s="150"/>
      <c r="W40" s="117">
        <f t="shared" si="8"/>
        <v>12148.063099999999</v>
      </c>
      <c r="X40" s="151">
        <f t="shared" si="9"/>
        <v>823.9</v>
      </c>
      <c r="Y40" s="113">
        <f>SUM(W40:X40)</f>
        <v>12971.963099999999</v>
      </c>
    </row>
    <row r="41" spans="1:29" s="110" customFormat="1" ht="16.95" customHeight="1">
      <c r="A41" s="229"/>
      <c r="B41" s="152" t="s">
        <v>124</v>
      </c>
      <c r="C41" s="153" t="s">
        <v>338</v>
      </c>
      <c r="D41" s="105" t="s">
        <v>16</v>
      </c>
      <c r="E41" s="154">
        <f>50160*2*0.3</f>
        <v>30096</v>
      </c>
      <c r="F41" s="155">
        <v>0</v>
      </c>
      <c r="G41" s="184" t="s">
        <v>303</v>
      </c>
      <c r="H41" s="154">
        <v>0</v>
      </c>
      <c r="I41" s="155">
        <f t="shared" si="0"/>
        <v>0</v>
      </c>
      <c r="J41" s="156"/>
      <c r="K41" s="154">
        <v>0</v>
      </c>
      <c r="L41" s="155">
        <f t="shared" si="1"/>
        <v>0</v>
      </c>
      <c r="M41" s="156"/>
      <c r="N41" s="154">
        <v>0</v>
      </c>
      <c r="O41" s="155">
        <f t="shared" si="2"/>
        <v>0</v>
      </c>
      <c r="P41" s="156"/>
      <c r="Q41" s="154">
        <f t="shared" si="7"/>
        <v>2106.7200000000003</v>
      </c>
      <c r="R41" s="155">
        <f t="shared" si="3"/>
        <v>0</v>
      </c>
      <c r="S41" s="156" t="s">
        <v>125</v>
      </c>
      <c r="T41" s="157">
        <v>0</v>
      </c>
      <c r="U41" s="155">
        <f t="shared" si="4"/>
        <v>0</v>
      </c>
      <c r="V41" s="158"/>
      <c r="W41" s="118">
        <f t="shared" si="8"/>
        <v>32202.720000000001</v>
      </c>
      <c r="X41" s="159">
        <f t="shared" si="9"/>
        <v>0</v>
      </c>
    </row>
    <row r="42" spans="1:29" s="110" customFormat="1" ht="61.05" customHeight="1">
      <c r="A42" s="229"/>
      <c r="B42" s="152" t="s">
        <v>126</v>
      </c>
      <c r="C42" s="153" t="s">
        <v>339</v>
      </c>
      <c r="D42" s="220" t="s">
        <v>44</v>
      </c>
      <c r="E42" s="154">
        <v>6270</v>
      </c>
      <c r="F42" s="155">
        <v>0</v>
      </c>
      <c r="G42" s="225" t="s">
        <v>252</v>
      </c>
      <c r="H42" s="154">
        <v>0</v>
      </c>
      <c r="I42" s="155">
        <f t="shared" si="0"/>
        <v>0</v>
      </c>
      <c r="J42" s="156"/>
      <c r="K42" s="154">
        <v>0</v>
      </c>
      <c r="L42" s="155">
        <f t="shared" si="1"/>
        <v>0</v>
      </c>
      <c r="M42" s="156"/>
      <c r="N42" s="154">
        <v>0</v>
      </c>
      <c r="O42" s="155">
        <f t="shared" si="2"/>
        <v>0</v>
      </c>
      <c r="P42" s="156"/>
      <c r="Q42" s="154">
        <f t="shared" si="7"/>
        <v>438.90000000000003</v>
      </c>
      <c r="R42" s="155">
        <f t="shared" si="3"/>
        <v>0</v>
      </c>
      <c r="S42" s="181" t="s">
        <v>260</v>
      </c>
      <c r="T42" s="157">
        <v>0</v>
      </c>
      <c r="U42" s="155">
        <f t="shared" si="4"/>
        <v>0</v>
      </c>
      <c r="V42" s="158"/>
      <c r="W42" s="118">
        <f t="shared" si="8"/>
        <v>6708.9</v>
      </c>
      <c r="X42" s="159">
        <f t="shared" si="9"/>
        <v>0</v>
      </c>
    </row>
    <row r="43" spans="1:29" s="110" customFormat="1" ht="51.75" customHeight="1">
      <c r="A43" s="229"/>
      <c r="B43" s="152" t="s">
        <v>127</v>
      </c>
      <c r="C43" s="153" t="s">
        <v>340</v>
      </c>
      <c r="D43" s="105" t="s">
        <v>59</v>
      </c>
      <c r="E43" s="154">
        <f>50160/2</f>
        <v>25080</v>
      </c>
      <c r="F43" s="155">
        <v>0</v>
      </c>
      <c r="G43" s="225" t="s">
        <v>246</v>
      </c>
      <c r="H43" s="154">
        <v>0</v>
      </c>
      <c r="I43" s="155">
        <f t="shared" si="0"/>
        <v>0</v>
      </c>
      <c r="J43" s="156"/>
      <c r="K43" s="154">
        <v>0</v>
      </c>
      <c r="L43" s="155">
        <f t="shared" si="1"/>
        <v>0</v>
      </c>
      <c r="M43" s="156"/>
      <c r="N43" s="154">
        <v>0</v>
      </c>
      <c r="O43" s="155">
        <f t="shared" si="2"/>
        <v>0</v>
      </c>
      <c r="P43" s="156"/>
      <c r="Q43" s="154">
        <f t="shared" si="7"/>
        <v>1755.6000000000001</v>
      </c>
      <c r="R43" s="155">
        <f t="shared" si="3"/>
        <v>0</v>
      </c>
      <c r="S43" s="181" t="s">
        <v>25</v>
      </c>
      <c r="T43" s="157">
        <v>0</v>
      </c>
      <c r="U43" s="155">
        <f t="shared" si="4"/>
        <v>0</v>
      </c>
      <c r="V43" s="158"/>
      <c r="W43" s="118">
        <f t="shared" si="8"/>
        <v>26835.599999999999</v>
      </c>
      <c r="X43" s="159">
        <f t="shared" si="9"/>
        <v>0</v>
      </c>
    </row>
    <row r="44" spans="1:29" s="110" customFormat="1" ht="66" customHeight="1">
      <c r="A44" s="229"/>
      <c r="B44" s="161" t="s">
        <v>128</v>
      </c>
      <c r="C44" s="162" t="s">
        <v>341</v>
      </c>
      <c r="D44" s="105" t="s">
        <v>64</v>
      </c>
      <c r="E44" s="122">
        <v>8360</v>
      </c>
      <c r="F44" s="124">
        <v>0</v>
      </c>
      <c r="G44" s="163" t="s">
        <v>129</v>
      </c>
      <c r="H44" s="122">
        <v>0</v>
      </c>
      <c r="I44" s="124">
        <f t="shared" si="0"/>
        <v>0</v>
      </c>
      <c r="J44" s="163"/>
      <c r="K44" s="122">
        <v>0</v>
      </c>
      <c r="L44" s="124">
        <f t="shared" si="1"/>
        <v>0</v>
      </c>
      <c r="M44" s="163"/>
      <c r="N44" s="122">
        <v>0</v>
      </c>
      <c r="O44" s="124">
        <f t="shared" si="2"/>
        <v>0</v>
      </c>
      <c r="P44" s="163"/>
      <c r="Q44" s="122">
        <f t="shared" si="7"/>
        <v>585.20000000000005</v>
      </c>
      <c r="R44" s="124">
        <f t="shared" si="3"/>
        <v>0</v>
      </c>
      <c r="S44" s="163" t="s">
        <v>130</v>
      </c>
      <c r="T44" s="164">
        <v>0</v>
      </c>
      <c r="U44" s="124">
        <f t="shared" si="4"/>
        <v>0</v>
      </c>
      <c r="V44" s="165"/>
      <c r="W44" s="119">
        <f t="shared" si="8"/>
        <v>8945.2000000000007</v>
      </c>
      <c r="X44" s="166">
        <f t="shared" si="9"/>
        <v>0</v>
      </c>
    </row>
    <row r="45" spans="1:29" s="110" customFormat="1" ht="112.95" customHeight="1">
      <c r="A45" s="229"/>
      <c r="B45" s="161" t="s">
        <v>131</v>
      </c>
      <c r="C45" s="162" t="s">
        <v>342</v>
      </c>
      <c r="D45" s="220" t="s">
        <v>29</v>
      </c>
      <c r="E45" s="122">
        <v>50160</v>
      </c>
      <c r="F45" s="124">
        <v>0</v>
      </c>
      <c r="G45" s="214" t="s">
        <v>132</v>
      </c>
      <c r="H45" s="122">
        <v>0</v>
      </c>
      <c r="I45" s="124">
        <f t="shared" si="0"/>
        <v>0</v>
      </c>
      <c r="J45" s="163"/>
      <c r="K45" s="122">
        <v>0</v>
      </c>
      <c r="L45" s="124">
        <f t="shared" si="1"/>
        <v>0</v>
      </c>
      <c r="M45" s="163"/>
      <c r="N45" s="122">
        <v>0</v>
      </c>
      <c r="O45" s="124">
        <f t="shared" si="2"/>
        <v>0</v>
      </c>
      <c r="P45" s="163"/>
      <c r="Q45" s="122">
        <f t="shared" si="7"/>
        <v>3511.2000000000003</v>
      </c>
      <c r="R45" s="124">
        <f t="shared" si="3"/>
        <v>0</v>
      </c>
      <c r="S45" s="214" t="s">
        <v>25</v>
      </c>
      <c r="T45" s="164">
        <v>0</v>
      </c>
      <c r="U45" s="124">
        <f t="shared" si="4"/>
        <v>0</v>
      </c>
      <c r="V45" s="165"/>
      <c r="W45" s="119">
        <f t="shared" si="8"/>
        <v>53671.199999999997</v>
      </c>
      <c r="X45" s="166">
        <f t="shared" si="9"/>
        <v>0</v>
      </c>
    </row>
    <row r="46" spans="1:29" s="110" customFormat="1" ht="33" customHeight="1">
      <c r="A46" s="229"/>
      <c r="B46" s="152" t="s">
        <v>133</v>
      </c>
      <c r="C46" s="153" t="s">
        <v>343</v>
      </c>
      <c r="D46" s="105" t="s">
        <v>72</v>
      </c>
      <c r="E46" s="154">
        <v>8360</v>
      </c>
      <c r="F46" s="155">
        <v>0</v>
      </c>
      <c r="G46" s="156" t="s">
        <v>134</v>
      </c>
      <c r="H46" s="154">
        <v>0</v>
      </c>
      <c r="I46" s="155">
        <f t="shared" si="0"/>
        <v>0</v>
      </c>
      <c r="J46" s="156"/>
      <c r="K46" s="154">
        <v>0</v>
      </c>
      <c r="L46" s="155">
        <f t="shared" si="1"/>
        <v>0</v>
      </c>
      <c r="M46" s="156"/>
      <c r="N46" s="154">
        <v>0</v>
      </c>
      <c r="O46" s="155">
        <f t="shared" si="2"/>
        <v>0</v>
      </c>
      <c r="P46" s="156"/>
      <c r="Q46" s="154">
        <f t="shared" si="7"/>
        <v>585.20000000000005</v>
      </c>
      <c r="R46" s="155">
        <f t="shared" si="3"/>
        <v>0</v>
      </c>
      <c r="S46" s="181" t="s">
        <v>25</v>
      </c>
      <c r="T46" s="157">
        <v>0</v>
      </c>
      <c r="U46" s="155">
        <f t="shared" si="4"/>
        <v>0</v>
      </c>
      <c r="V46" s="158"/>
      <c r="W46" s="118">
        <f t="shared" si="8"/>
        <v>8945.2000000000007</v>
      </c>
      <c r="X46" s="159">
        <f t="shared" si="9"/>
        <v>0</v>
      </c>
    </row>
    <row r="47" spans="1:29" s="110" customFormat="1" ht="129" customHeight="1">
      <c r="A47" s="229"/>
      <c r="B47" s="152" t="s">
        <v>135</v>
      </c>
      <c r="C47" s="153" t="s">
        <v>344</v>
      </c>
      <c r="D47" s="105" t="s">
        <v>76</v>
      </c>
      <c r="E47" s="154">
        <v>8360</v>
      </c>
      <c r="F47" s="155">
        <v>0</v>
      </c>
      <c r="G47" s="156" t="s">
        <v>136</v>
      </c>
      <c r="H47" s="154">
        <v>0</v>
      </c>
      <c r="I47" s="155">
        <f t="shared" si="0"/>
        <v>0</v>
      </c>
      <c r="J47" s="156"/>
      <c r="K47" s="154">
        <v>0</v>
      </c>
      <c r="L47" s="155">
        <f t="shared" si="1"/>
        <v>0</v>
      </c>
      <c r="M47" s="156"/>
      <c r="N47" s="154">
        <v>0</v>
      </c>
      <c r="O47" s="155">
        <f t="shared" si="2"/>
        <v>0</v>
      </c>
      <c r="P47" s="156"/>
      <c r="Q47" s="154">
        <f t="shared" si="7"/>
        <v>585.20000000000005</v>
      </c>
      <c r="R47" s="155">
        <f t="shared" si="3"/>
        <v>0</v>
      </c>
      <c r="S47" s="181" t="s">
        <v>25</v>
      </c>
      <c r="T47" s="157">
        <v>0</v>
      </c>
      <c r="U47" s="155">
        <f t="shared" si="4"/>
        <v>0</v>
      </c>
      <c r="V47" s="158"/>
      <c r="W47" s="118">
        <f t="shared" si="8"/>
        <v>8945.2000000000007</v>
      </c>
      <c r="X47" s="159">
        <f t="shared" si="9"/>
        <v>0</v>
      </c>
    </row>
    <row r="48" spans="1:29" s="110" customFormat="1" ht="32.4" customHeight="1">
      <c r="A48" s="229"/>
      <c r="B48" s="161" t="s">
        <v>137</v>
      </c>
      <c r="C48" s="162" t="s">
        <v>345</v>
      </c>
      <c r="D48" s="108" t="s">
        <v>80</v>
      </c>
      <c r="E48" s="122">
        <v>16720</v>
      </c>
      <c r="F48" s="124">
        <v>0</v>
      </c>
      <c r="G48" s="224" t="s">
        <v>279</v>
      </c>
      <c r="H48" s="122">
        <v>0</v>
      </c>
      <c r="I48" s="124">
        <f t="shared" si="0"/>
        <v>0</v>
      </c>
      <c r="J48" s="163"/>
      <c r="K48" s="122">
        <v>0</v>
      </c>
      <c r="L48" s="124">
        <f t="shared" si="1"/>
        <v>0</v>
      </c>
      <c r="M48" s="163"/>
      <c r="N48" s="122">
        <v>0</v>
      </c>
      <c r="O48" s="124">
        <f t="shared" si="2"/>
        <v>0</v>
      </c>
      <c r="P48" s="163"/>
      <c r="Q48" s="122">
        <f t="shared" si="7"/>
        <v>1170.4000000000001</v>
      </c>
      <c r="R48" s="124">
        <f t="shared" si="3"/>
        <v>0</v>
      </c>
      <c r="S48" s="214" t="s">
        <v>280</v>
      </c>
      <c r="T48" s="164">
        <v>0</v>
      </c>
      <c r="U48" s="124">
        <f t="shared" si="4"/>
        <v>0</v>
      </c>
      <c r="V48" s="165"/>
      <c r="W48" s="119">
        <f t="shared" si="8"/>
        <v>17890.400000000001</v>
      </c>
      <c r="X48" s="166">
        <f t="shared" si="9"/>
        <v>0</v>
      </c>
    </row>
    <row r="49" spans="1:25" s="110" customFormat="1" ht="31.2">
      <c r="A49" s="229"/>
      <c r="B49" s="161" t="s">
        <v>138</v>
      </c>
      <c r="C49" s="162" t="s">
        <v>346</v>
      </c>
      <c r="D49" s="108" t="s">
        <v>20</v>
      </c>
      <c r="E49" s="122">
        <v>68112</v>
      </c>
      <c r="F49" s="124">
        <v>0</v>
      </c>
      <c r="G49" s="163" t="s">
        <v>139</v>
      </c>
      <c r="H49" s="122">
        <v>0</v>
      </c>
      <c r="I49" s="124">
        <f t="shared" si="0"/>
        <v>0</v>
      </c>
      <c r="J49" s="163"/>
      <c r="K49" s="122">
        <v>0</v>
      </c>
      <c r="L49" s="124">
        <f t="shared" si="1"/>
        <v>0</v>
      </c>
      <c r="M49" s="163"/>
      <c r="N49" s="122">
        <v>0</v>
      </c>
      <c r="O49" s="124">
        <f t="shared" si="2"/>
        <v>0</v>
      </c>
      <c r="P49" s="163"/>
      <c r="Q49" s="122">
        <f t="shared" si="7"/>
        <v>4767.84</v>
      </c>
      <c r="R49" s="124">
        <f t="shared" si="3"/>
        <v>0</v>
      </c>
      <c r="S49" s="163" t="s">
        <v>140</v>
      </c>
      <c r="T49" s="164">
        <v>0</v>
      </c>
      <c r="U49" s="124">
        <f t="shared" si="4"/>
        <v>0</v>
      </c>
      <c r="V49" s="165"/>
      <c r="W49" s="119">
        <f t="shared" si="8"/>
        <v>72879.839999999997</v>
      </c>
      <c r="X49" s="166">
        <f t="shared" si="9"/>
        <v>0</v>
      </c>
    </row>
    <row r="50" spans="1:25" s="110" customFormat="1" ht="31.2">
      <c r="A50" s="229"/>
      <c r="B50" s="161" t="s">
        <v>141</v>
      </c>
      <c r="C50" s="162" t="s">
        <v>347</v>
      </c>
      <c r="D50" s="108" t="s">
        <v>87</v>
      </c>
      <c r="E50" s="122">
        <v>7750</v>
      </c>
      <c r="F50" s="124">
        <v>0</v>
      </c>
      <c r="G50" s="224" t="s">
        <v>269</v>
      </c>
      <c r="H50" s="122">
        <v>0</v>
      </c>
      <c r="I50" s="124">
        <f t="shared" si="0"/>
        <v>0</v>
      </c>
      <c r="J50" s="163"/>
      <c r="K50" s="122">
        <v>0</v>
      </c>
      <c r="L50" s="124">
        <f t="shared" si="1"/>
        <v>0</v>
      </c>
      <c r="M50" s="163"/>
      <c r="N50" s="122">
        <v>0</v>
      </c>
      <c r="O50" s="124">
        <f t="shared" si="2"/>
        <v>0</v>
      </c>
      <c r="P50" s="163"/>
      <c r="Q50" s="122">
        <f t="shared" si="7"/>
        <v>542.5</v>
      </c>
      <c r="R50" s="124">
        <f t="shared" si="3"/>
        <v>0</v>
      </c>
      <c r="S50" s="163" t="s">
        <v>142</v>
      </c>
      <c r="T50" s="164">
        <v>0</v>
      </c>
      <c r="U50" s="124">
        <f t="shared" si="4"/>
        <v>0</v>
      </c>
      <c r="V50" s="165"/>
      <c r="W50" s="119">
        <f t="shared" si="8"/>
        <v>8292.5</v>
      </c>
      <c r="X50" s="166">
        <f t="shared" si="9"/>
        <v>0</v>
      </c>
    </row>
    <row r="51" spans="1:25" s="110" customFormat="1" ht="78">
      <c r="A51" s="230"/>
      <c r="B51" s="167" t="s">
        <v>143</v>
      </c>
      <c r="C51" s="168" t="s">
        <v>348</v>
      </c>
      <c r="D51" s="106" t="s">
        <v>37</v>
      </c>
      <c r="E51" s="123">
        <v>9300</v>
      </c>
      <c r="F51" s="169">
        <v>0</v>
      </c>
      <c r="G51" s="183" t="s">
        <v>144</v>
      </c>
      <c r="H51" s="123">
        <v>0</v>
      </c>
      <c r="I51" s="169">
        <f t="shared" si="0"/>
        <v>0</v>
      </c>
      <c r="J51" s="170"/>
      <c r="K51" s="123">
        <v>0</v>
      </c>
      <c r="L51" s="169">
        <f t="shared" si="1"/>
        <v>0</v>
      </c>
      <c r="M51" s="170"/>
      <c r="N51" s="123">
        <v>0</v>
      </c>
      <c r="O51" s="169">
        <f t="shared" si="2"/>
        <v>0</v>
      </c>
      <c r="P51" s="170"/>
      <c r="Q51" s="123">
        <f t="shared" si="7"/>
        <v>651.00000000000011</v>
      </c>
      <c r="R51" s="169">
        <f t="shared" si="3"/>
        <v>0</v>
      </c>
      <c r="S51" s="170" t="s">
        <v>25</v>
      </c>
      <c r="T51" s="171">
        <v>0</v>
      </c>
      <c r="U51" s="169">
        <f t="shared" si="4"/>
        <v>0</v>
      </c>
      <c r="V51" s="172"/>
      <c r="W51" s="120">
        <f t="shared" si="8"/>
        <v>9951</v>
      </c>
      <c r="X51" s="173">
        <f t="shared" si="9"/>
        <v>0</v>
      </c>
    </row>
    <row r="52" spans="1:25" s="110" customFormat="1" ht="34.049999999999997" customHeight="1">
      <c r="A52" s="228" t="s">
        <v>145</v>
      </c>
      <c r="B52" s="144" t="s">
        <v>146</v>
      </c>
      <c r="C52" s="145" t="s">
        <v>349</v>
      </c>
      <c r="D52" s="107" t="s">
        <v>20</v>
      </c>
      <c r="E52" s="146">
        <v>34056</v>
      </c>
      <c r="F52" s="147">
        <v>0</v>
      </c>
      <c r="G52" s="148" t="s">
        <v>147</v>
      </c>
      <c r="H52" s="146">
        <v>0</v>
      </c>
      <c r="I52" s="147">
        <f t="shared" si="0"/>
        <v>0</v>
      </c>
      <c r="J52" s="148"/>
      <c r="K52" s="146">
        <v>0</v>
      </c>
      <c r="L52" s="147">
        <f t="shared" si="1"/>
        <v>0</v>
      </c>
      <c r="M52" s="148"/>
      <c r="N52" s="146">
        <v>0</v>
      </c>
      <c r="O52" s="147">
        <f t="shared" si="2"/>
        <v>0</v>
      </c>
      <c r="P52" s="148"/>
      <c r="Q52" s="146">
        <f t="shared" si="7"/>
        <v>2383.92</v>
      </c>
      <c r="R52" s="147">
        <f t="shared" si="3"/>
        <v>0</v>
      </c>
      <c r="S52" s="148" t="s">
        <v>25</v>
      </c>
      <c r="T52" s="149">
        <v>0</v>
      </c>
      <c r="U52" s="147">
        <f t="shared" si="4"/>
        <v>0</v>
      </c>
      <c r="V52" s="150"/>
      <c r="W52" s="117">
        <f t="shared" si="8"/>
        <v>36439.919999999998</v>
      </c>
      <c r="X52" s="151">
        <f t="shared" si="9"/>
        <v>0</v>
      </c>
    </row>
    <row r="53" spans="1:25" s="110" customFormat="1" ht="124.8">
      <c r="A53" s="229"/>
      <c r="B53" s="152" t="s">
        <v>148</v>
      </c>
      <c r="C53" s="177" t="s">
        <v>149</v>
      </c>
      <c r="D53" s="105" t="s">
        <v>20</v>
      </c>
      <c r="E53" s="154">
        <v>34056</v>
      </c>
      <c r="F53" s="155">
        <v>0</v>
      </c>
      <c r="G53" s="156" t="s">
        <v>147</v>
      </c>
      <c r="H53" s="154">
        <v>0</v>
      </c>
      <c r="I53" s="155">
        <f t="shared" si="0"/>
        <v>0</v>
      </c>
      <c r="J53" s="156"/>
      <c r="K53" s="154">
        <v>0</v>
      </c>
      <c r="L53" s="155">
        <f t="shared" si="1"/>
        <v>0</v>
      </c>
      <c r="M53" s="156"/>
      <c r="N53" s="154">
        <v>0</v>
      </c>
      <c r="O53" s="155">
        <f t="shared" si="2"/>
        <v>0</v>
      </c>
      <c r="P53" s="156"/>
      <c r="Q53" s="154">
        <f t="shared" si="7"/>
        <v>2383.92</v>
      </c>
      <c r="R53" s="155">
        <f t="shared" si="3"/>
        <v>0</v>
      </c>
      <c r="S53" s="156" t="s">
        <v>140</v>
      </c>
      <c r="T53" s="157">
        <v>0</v>
      </c>
      <c r="U53" s="155">
        <f t="shared" si="4"/>
        <v>0</v>
      </c>
      <c r="V53" s="158"/>
      <c r="W53" s="118">
        <f t="shared" si="8"/>
        <v>36439.919999999998</v>
      </c>
      <c r="X53" s="159">
        <f t="shared" si="9"/>
        <v>0</v>
      </c>
    </row>
    <row r="54" spans="1:25" s="110" customFormat="1" ht="93.6">
      <c r="A54" s="229"/>
      <c r="B54" s="152" t="s">
        <v>150</v>
      </c>
      <c r="C54" s="153" t="s">
        <v>350</v>
      </c>
      <c r="D54" s="105" t="s">
        <v>20</v>
      </c>
      <c r="E54" s="154">
        <v>25542</v>
      </c>
      <c r="F54" s="155">
        <v>0</v>
      </c>
      <c r="G54" s="156" t="s">
        <v>151</v>
      </c>
      <c r="H54" s="154">
        <v>0</v>
      </c>
      <c r="I54" s="155">
        <f t="shared" si="0"/>
        <v>0</v>
      </c>
      <c r="J54" s="156"/>
      <c r="K54" s="154">
        <v>0</v>
      </c>
      <c r="L54" s="155">
        <f t="shared" si="1"/>
        <v>0</v>
      </c>
      <c r="M54" s="156"/>
      <c r="N54" s="154">
        <v>0</v>
      </c>
      <c r="O54" s="155">
        <f t="shared" si="2"/>
        <v>0</v>
      </c>
      <c r="P54" s="156"/>
      <c r="Q54" s="154">
        <f t="shared" si="7"/>
        <v>1787.9400000000003</v>
      </c>
      <c r="R54" s="155">
        <f t="shared" si="3"/>
        <v>0</v>
      </c>
      <c r="S54" s="156" t="s">
        <v>25</v>
      </c>
      <c r="T54" s="157">
        <v>0</v>
      </c>
      <c r="U54" s="155">
        <f t="shared" si="4"/>
        <v>0</v>
      </c>
      <c r="V54" s="158"/>
      <c r="W54" s="118">
        <f t="shared" si="8"/>
        <v>27329.94</v>
      </c>
      <c r="X54" s="159">
        <f t="shared" si="9"/>
        <v>0</v>
      </c>
    </row>
    <row r="55" spans="1:25" s="110" customFormat="1" ht="31.95" customHeight="1">
      <c r="A55" s="229"/>
      <c r="B55" s="152" t="s">
        <v>152</v>
      </c>
      <c r="C55" s="153" t="s">
        <v>351</v>
      </c>
      <c r="D55" s="105" t="s">
        <v>20</v>
      </c>
      <c r="E55" s="154">
        <v>25542</v>
      </c>
      <c r="F55" s="155">
        <v>0</v>
      </c>
      <c r="G55" s="156" t="s">
        <v>151</v>
      </c>
      <c r="H55" s="154">
        <v>0</v>
      </c>
      <c r="I55" s="155">
        <f t="shared" si="0"/>
        <v>0</v>
      </c>
      <c r="J55" s="156"/>
      <c r="K55" s="154">
        <v>0</v>
      </c>
      <c r="L55" s="155">
        <f t="shared" si="1"/>
        <v>0</v>
      </c>
      <c r="M55" s="156"/>
      <c r="N55" s="154">
        <v>0</v>
      </c>
      <c r="O55" s="155">
        <f t="shared" si="2"/>
        <v>0</v>
      </c>
      <c r="P55" s="156"/>
      <c r="Q55" s="154">
        <f t="shared" si="7"/>
        <v>1787.9400000000003</v>
      </c>
      <c r="R55" s="155">
        <f t="shared" si="3"/>
        <v>0</v>
      </c>
      <c r="S55" s="156" t="s">
        <v>25</v>
      </c>
      <c r="T55" s="157">
        <v>0</v>
      </c>
      <c r="U55" s="155">
        <f t="shared" si="4"/>
        <v>0</v>
      </c>
      <c r="V55" s="158"/>
      <c r="W55" s="118">
        <f t="shared" si="8"/>
        <v>27329.94</v>
      </c>
      <c r="X55" s="159">
        <f t="shared" si="9"/>
        <v>0</v>
      </c>
    </row>
    <row r="56" spans="1:25" s="110" customFormat="1" ht="124.8">
      <c r="A56" s="229"/>
      <c r="B56" s="152" t="s">
        <v>153</v>
      </c>
      <c r="C56" s="162" t="s">
        <v>154</v>
      </c>
      <c r="D56" s="108" t="s">
        <v>20</v>
      </c>
      <c r="E56" s="122">
        <v>34056</v>
      </c>
      <c r="F56" s="124">
        <v>0</v>
      </c>
      <c r="G56" s="163" t="s">
        <v>147</v>
      </c>
      <c r="H56" s="122">
        <v>0</v>
      </c>
      <c r="I56" s="124">
        <v>0</v>
      </c>
      <c r="J56" s="163"/>
      <c r="K56" s="122">
        <v>0</v>
      </c>
      <c r="L56" s="124">
        <f t="shared" si="1"/>
        <v>0</v>
      </c>
      <c r="M56" s="163"/>
      <c r="N56" s="122">
        <v>0</v>
      </c>
      <c r="O56" s="124">
        <f t="shared" si="2"/>
        <v>0</v>
      </c>
      <c r="P56" s="163"/>
      <c r="Q56" s="122">
        <f t="shared" si="7"/>
        <v>2383.92</v>
      </c>
      <c r="R56" s="124">
        <f t="shared" si="3"/>
        <v>0</v>
      </c>
      <c r="S56" s="163" t="s">
        <v>140</v>
      </c>
      <c r="T56" s="164">
        <v>0</v>
      </c>
      <c r="U56" s="124">
        <f t="shared" si="4"/>
        <v>0</v>
      </c>
      <c r="V56" s="165"/>
      <c r="W56" s="119">
        <f t="shared" si="8"/>
        <v>36439.919999999998</v>
      </c>
      <c r="X56" s="166"/>
    </row>
    <row r="57" spans="1:25" s="110" customFormat="1" ht="43.8" customHeight="1">
      <c r="A57" s="230"/>
      <c r="B57" s="152" t="s">
        <v>155</v>
      </c>
      <c r="C57" s="168" t="s">
        <v>352</v>
      </c>
      <c r="D57" s="106" t="s">
        <v>16</v>
      </c>
      <c r="E57" s="123">
        <f>2*50160</f>
        <v>100320</v>
      </c>
      <c r="F57" s="169">
        <v>0</v>
      </c>
      <c r="G57" s="183" t="s">
        <v>300</v>
      </c>
      <c r="H57" s="123">
        <v>0</v>
      </c>
      <c r="I57" s="169">
        <f t="shared" si="0"/>
        <v>0</v>
      </c>
      <c r="J57" s="170"/>
      <c r="K57" s="123">
        <v>0</v>
      </c>
      <c r="L57" s="169">
        <f t="shared" si="1"/>
        <v>0</v>
      </c>
      <c r="M57" s="170"/>
      <c r="N57" s="123">
        <v>0</v>
      </c>
      <c r="O57" s="169">
        <f t="shared" si="2"/>
        <v>0</v>
      </c>
      <c r="P57" s="170"/>
      <c r="Q57" s="123">
        <f t="shared" si="7"/>
        <v>7022.4000000000005</v>
      </c>
      <c r="R57" s="169">
        <f t="shared" si="3"/>
        <v>0</v>
      </c>
      <c r="S57" s="170" t="s">
        <v>156</v>
      </c>
      <c r="T57" s="171">
        <v>0</v>
      </c>
      <c r="U57" s="169">
        <f t="shared" si="4"/>
        <v>0</v>
      </c>
      <c r="V57" s="172"/>
      <c r="W57" s="120">
        <f t="shared" si="8"/>
        <v>107342.39999999999</v>
      </c>
      <c r="X57" s="173">
        <f t="shared" si="9"/>
        <v>0</v>
      </c>
    </row>
    <row r="58" spans="1:25" s="110" customFormat="1" ht="34.950000000000003" customHeight="1">
      <c r="A58" s="228" t="s">
        <v>157</v>
      </c>
      <c r="B58" s="144" t="s">
        <v>158</v>
      </c>
      <c r="C58" s="145" t="s">
        <v>159</v>
      </c>
      <c r="D58" s="107" t="s">
        <v>87</v>
      </c>
      <c r="E58" s="154">
        <v>38750</v>
      </c>
      <c r="F58" s="147">
        <v>0</v>
      </c>
      <c r="G58" s="222" t="s">
        <v>270</v>
      </c>
      <c r="H58" s="146">
        <v>0</v>
      </c>
      <c r="I58" s="147">
        <f t="shared" si="0"/>
        <v>0</v>
      </c>
      <c r="J58" s="148"/>
      <c r="K58" s="146">
        <v>0</v>
      </c>
      <c r="L58" s="147">
        <f t="shared" si="1"/>
        <v>0</v>
      </c>
      <c r="M58" s="148"/>
      <c r="N58" s="146">
        <v>0</v>
      </c>
      <c r="O58" s="147">
        <f t="shared" si="2"/>
        <v>0</v>
      </c>
      <c r="P58" s="148"/>
      <c r="Q58" s="146">
        <f t="shared" ref="Q58:Q60" si="12">0.07*(E58+H58+K58+N58+T58)</f>
        <v>2712.5000000000005</v>
      </c>
      <c r="R58" s="147">
        <f t="shared" si="3"/>
        <v>0</v>
      </c>
      <c r="S58" s="148" t="s">
        <v>160</v>
      </c>
      <c r="T58" s="149">
        <v>0</v>
      </c>
      <c r="U58" s="147">
        <f t="shared" si="4"/>
        <v>0</v>
      </c>
      <c r="V58" s="150"/>
      <c r="W58" s="117">
        <f t="shared" si="8"/>
        <v>41462.5</v>
      </c>
      <c r="X58" s="151">
        <f t="shared" si="9"/>
        <v>0</v>
      </c>
    </row>
    <row r="59" spans="1:25" s="110" customFormat="1" ht="31.2">
      <c r="A59" s="229"/>
      <c r="B59" s="152" t="s">
        <v>161</v>
      </c>
      <c r="C59" s="153" t="s">
        <v>162</v>
      </c>
      <c r="D59" s="105" t="s">
        <v>16</v>
      </c>
      <c r="E59" s="154">
        <f>50160*2*0.5</f>
        <v>50160</v>
      </c>
      <c r="F59" s="155">
        <v>0</v>
      </c>
      <c r="G59" s="184" t="s">
        <v>303</v>
      </c>
      <c r="H59" s="154">
        <v>0</v>
      </c>
      <c r="I59" s="155">
        <f t="shared" si="0"/>
        <v>0</v>
      </c>
      <c r="J59" s="156"/>
      <c r="K59" s="154">
        <v>0</v>
      </c>
      <c r="L59" s="155">
        <f t="shared" si="1"/>
        <v>0</v>
      </c>
      <c r="M59" s="156"/>
      <c r="N59" s="154">
        <v>0</v>
      </c>
      <c r="O59" s="155">
        <f t="shared" si="2"/>
        <v>0</v>
      </c>
      <c r="P59" s="156"/>
      <c r="Q59" s="154">
        <f t="shared" si="12"/>
        <v>3511.2000000000003</v>
      </c>
      <c r="R59" s="155">
        <f t="shared" si="3"/>
        <v>0</v>
      </c>
      <c r="S59" s="156" t="s">
        <v>41</v>
      </c>
      <c r="T59" s="157">
        <v>0</v>
      </c>
      <c r="U59" s="155">
        <f t="shared" si="4"/>
        <v>0</v>
      </c>
      <c r="V59" s="158"/>
      <c r="W59" s="118">
        <f t="shared" si="8"/>
        <v>53671.199999999997</v>
      </c>
      <c r="X59" s="159">
        <f t="shared" si="9"/>
        <v>0</v>
      </c>
    </row>
    <row r="60" spans="1:25" s="110" customFormat="1" ht="46.8">
      <c r="A60" s="229"/>
      <c r="B60" s="152" t="s">
        <v>163</v>
      </c>
      <c r="C60" s="153" t="s">
        <v>353</v>
      </c>
      <c r="D60" s="105" t="s">
        <v>16</v>
      </c>
      <c r="E60" s="154">
        <f>4*50160*2*0.5</f>
        <v>200640</v>
      </c>
      <c r="F60" s="155">
        <v>0</v>
      </c>
      <c r="G60" s="225" t="s">
        <v>314</v>
      </c>
      <c r="H60" s="154">
        <v>0</v>
      </c>
      <c r="I60" s="155">
        <f t="shared" si="0"/>
        <v>0</v>
      </c>
      <c r="J60" s="156"/>
      <c r="K60" s="154">
        <v>0</v>
      </c>
      <c r="L60" s="155">
        <f t="shared" si="1"/>
        <v>0</v>
      </c>
      <c r="M60" s="156"/>
      <c r="N60" s="154">
        <v>0</v>
      </c>
      <c r="O60" s="155">
        <f t="shared" si="2"/>
        <v>0</v>
      </c>
      <c r="P60" s="156"/>
      <c r="Q60" s="154">
        <f t="shared" si="12"/>
        <v>14044.800000000001</v>
      </c>
      <c r="R60" s="155">
        <f t="shared" si="3"/>
        <v>0</v>
      </c>
      <c r="S60" s="156" t="s">
        <v>164</v>
      </c>
      <c r="T60" s="157">
        <v>0</v>
      </c>
      <c r="U60" s="155">
        <f t="shared" si="4"/>
        <v>0</v>
      </c>
      <c r="V60" s="158"/>
      <c r="W60" s="118">
        <f t="shared" si="8"/>
        <v>214684.79999999999</v>
      </c>
      <c r="X60" s="159">
        <f t="shared" si="9"/>
        <v>0</v>
      </c>
    </row>
    <row r="61" spans="1:25" s="110" customFormat="1" ht="109.2">
      <c r="A61" s="229"/>
      <c r="B61" s="152" t="s">
        <v>165</v>
      </c>
      <c r="C61" s="153" t="s">
        <v>354</v>
      </c>
      <c r="D61" s="220" t="s">
        <v>44</v>
      </c>
      <c r="E61" s="154">
        <v>16720</v>
      </c>
      <c r="F61" s="155">
        <v>0</v>
      </c>
      <c r="G61" s="218" t="s">
        <v>253</v>
      </c>
      <c r="H61" s="154">
        <v>0</v>
      </c>
      <c r="I61" s="155">
        <f t="shared" si="0"/>
        <v>0</v>
      </c>
      <c r="J61" s="156"/>
      <c r="K61" s="154">
        <v>0</v>
      </c>
      <c r="L61" s="155">
        <f t="shared" si="1"/>
        <v>0</v>
      </c>
      <c r="M61" s="156"/>
      <c r="N61" s="154">
        <v>0</v>
      </c>
      <c r="O61" s="155">
        <f t="shared" si="2"/>
        <v>0</v>
      </c>
      <c r="P61" s="156"/>
      <c r="Q61" s="154">
        <f t="shared" si="7"/>
        <v>1170.4000000000001</v>
      </c>
      <c r="R61" s="155">
        <f t="shared" si="3"/>
        <v>0</v>
      </c>
      <c r="S61" s="181" t="s">
        <v>25</v>
      </c>
      <c r="T61" s="157">
        <v>0</v>
      </c>
      <c r="U61" s="155">
        <f t="shared" si="4"/>
        <v>0</v>
      </c>
      <c r="V61" s="158"/>
      <c r="W61" s="118">
        <f t="shared" si="8"/>
        <v>17890.400000000001</v>
      </c>
      <c r="X61" s="159">
        <f t="shared" si="9"/>
        <v>0</v>
      </c>
    </row>
    <row r="62" spans="1:25" s="110" customFormat="1" ht="109.2">
      <c r="A62" s="229"/>
      <c r="B62" s="161" t="s">
        <v>166</v>
      </c>
      <c r="C62" s="162" t="s">
        <v>355</v>
      </c>
      <c r="D62" s="105" t="s">
        <v>59</v>
      </c>
      <c r="E62" s="122">
        <f>125400/2</f>
        <v>62700</v>
      </c>
      <c r="F62" s="124">
        <v>0</v>
      </c>
      <c r="G62" s="223" t="s">
        <v>247</v>
      </c>
      <c r="H62" s="122">
        <v>0</v>
      </c>
      <c r="I62" s="124">
        <f t="shared" si="0"/>
        <v>0</v>
      </c>
      <c r="J62" s="163"/>
      <c r="K62" s="122">
        <v>0</v>
      </c>
      <c r="L62" s="124">
        <f t="shared" si="1"/>
        <v>0</v>
      </c>
      <c r="M62" s="163"/>
      <c r="N62" s="122">
        <v>0</v>
      </c>
      <c r="O62" s="124">
        <f t="shared" si="2"/>
        <v>0</v>
      </c>
      <c r="P62" s="163"/>
      <c r="Q62" s="122">
        <f t="shared" si="7"/>
        <v>4389</v>
      </c>
      <c r="R62" s="124">
        <f t="shared" si="3"/>
        <v>0</v>
      </c>
      <c r="S62" s="181" t="s">
        <v>266</v>
      </c>
      <c r="T62" s="164">
        <v>0</v>
      </c>
      <c r="U62" s="124">
        <f t="shared" si="4"/>
        <v>0</v>
      </c>
      <c r="V62" s="158"/>
      <c r="W62" s="119">
        <f t="shared" si="8"/>
        <v>67089</v>
      </c>
      <c r="X62" s="166">
        <f t="shared" si="9"/>
        <v>0</v>
      </c>
    </row>
    <row r="63" spans="1:25" s="110" customFormat="1" ht="46.8">
      <c r="A63" s="229"/>
      <c r="B63" s="161" t="s">
        <v>167</v>
      </c>
      <c r="C63" s="162" t="s">
        <v>356</v>
      </c>
      <c r="D63" s="105" t="s">
        <v>64</v>
      </c>
      <c r="E63" s="122">
        <f>50160/12*9</f>
        <v>37620</v>
      </c>
      <c r="F63" s="124">
        <v>0</v>
      </c>
      <c r="G63" s="224" t="s">
        <v>315</v>
      </c>
      <c r="H63" s="122">
        <v>0</v>
      </c>
      <c r="I63" s="124">
        <f t="shared" si="0"/>
        <v>0</v>
      </c>
      <c r="J63" s="163"/>
      <c r="K63" s="122">
        <v>0</v>
      </c>
      <c r="L63" s="124">
        <f t="shared" si="1"/>
        <v>0</v>
      </c>
      <c r="M63" s="163"/>
      <c r="N63" s="122">
        <v>0</v>
      </c>
      <c r="O63" s="124">
        <f t="shared" si="2"/>
        <v>0</v>
      </c>
      <c r="P63" s="163"/>
      <c r="Q63" s="122">
        <f t="shared" si="7"/>
        <v>2633.4</v>
      </c>
      <c r="R63" s="124">
        <f t="shared" si="3"/>
        <v>0</v>
      </c>
      <c r="S63" s="214" t="s">
        <v>25</v>
      </c>
      <c r="T63" s="164">
        <v>0</v>
      </c>
      <c r="U63" s="124">
        <f t="shared" si="4"/>
        <v>0</v>
      </c>
      <c r="V63" s="165"/>
      <c r="W63" s="119">
        <f t="shared" si="8"/>
        <v>40253.4</v>
      </c>
      <c r="X63" s="166">
        <f t="shared" si="9"/>
        <v>0</v>
      </c>
    </row>
    <row r="64" spans="1:25" s="110" customFormat="1" ht="130.05000000000001" customHeight="1">
      <c r="A64" s="229"/>
      <c r="B64" s="152" t="s">
        <v>168</v>
      </c>
      <c r="C64" s="153" t="s">
        <v>357</v>
      </c>
      <c r="D64" s="220" t="s">
        <v>29</v>
      </c>
      <c r="E64" s="154">
        <v>351120</v>
      </c>
      <c r="F64" s="155">
        <v>0</v>
      </c>
      <c r="G64" s="225" t="s">
        <v>169</v>
      </c>
      <c r="H64" s="154">
        <v>20000</v>
      </c>
      <c r="I64" s="155">
        <f t="shared" si="0"/>
        <v>4400</v>
      </c>
      <c r="J64" s="181" t="s">
        <v>256</v>
      </c>
      <c r="K64" s="154">
        <v>0</v>
      </c>
      <c r="L64" s="155">
        <f t="shared" si="1"/>
        <v>0</v>
      </c>
      <c r="M64" s="156"/>
      <c r="N64" s="154">
        <v>0</v>
      </c>
      <c r="O64" s="155">
        <f t="shared" si="2"/>
        <v>0</v>
      </c>
      <c r="P64" s="156"/>
      <c r="Q64" s="154">
        <f t="shared" si="7"/>
        <v>25978.400000000001</v>
      </c>
      <c r="R64" s="155">
        <f t="shared" si="3"/>
        <v>308.00000000000006</v>
      </c>
      <c r="S64" s="156" t="s">
        <v>66</v>
      </c>
      <c r="T64" s="157">
        <v>0</v>
      </c>
      <c r="U64" s="155">
        <f t="shared" si="4"/>
        <v>0</v>
      </c>
      <c r="V64" s="158"/>
      <c r="W64" s="118">
        <f t="shared" si="8"/>
        <v>397098.4</v>
      </c>
      <c r="X64" s="159">
        <f t="shared" si="9"/>
        <v>4708</v>
      </c>
      <c r="Y64" s="113">
        <f>W64+X64</f>
        <v>401806.4</v>
      </c>
    </row>
    <row r="65" spans="1:28" s="110" customFormat="1" ht="46.8">
      <c r="A65" s="229"/>
      <c r="B65" s="152" t="s">
        <v>170</v>
      </c>
      <c r="C65" s="153" t="s">
        <v>358</v>
      </c>
      <c r="D65" s="105" t="s">
        <v>72</v>
      </c>
      <c r="E65" s="154">
        <v>37620</v>
      </c>
      <c r="F65" s="155">
        <v>0</v>
      </c>
      <c r="G65" s="156" t="s">
        <v>171</v>
      </c>
      <c r="H65" s="154">
        <v>0</v>
      </c>
      <c r="I65" s="155">
        <f t="shared" si="0"/>
        <v>0</v>
      </c>
      <c r="J65" s="156"/>
      <c r="K65" s="154">
        <v>0</v>
      </c>
      <c r="L65" s="155">
        <f t="shared" si="1"/>
        <v>0</v>
      </c>
      <c r="M65" s="156"/>
      <c r="N65" s="154">
        <v>0</v>
      </c>
      <c r="O65" s="155">
        <f t="shared" si="2"/>
        <v>0</v>
      </c>
      <c r="P65" s="156"/>
      <c r="Q65" s="154">
        <f t="shared" si="7"/>
        <v>2633.4</v>
      </c>
      <c r="R65" s="155">
        <f t="shared" si="3"/>
        <v>0</v>
      </c>
      <c r="S65" s="181" t="s">
        <v>25</v>
      </c>
      <c r="T65" s="157">
        <v>0</v>
      </c>
      <c r="U65" s="155">
        <f t="shared" si="4"/>
        <v>0</v>
      </c>
      <c r="V65" s="158"/>
      <c r="W65" s="118">
        <f t="shared" si="8"/>
        <v>40253.4</v>
      </c>
      <c r="X65" s="159">
        <f t="shared" si="9"/>
        <v>0</v>
      </c>
    </row>
    <row r="66" spans="1:28" s="110" customFormat="1" ht="234">
      <c r="A66" s="229"/>
      <c r="B66" s="152" t="s">
        <v>172</v>
      </c>
      <c r="C66" s="153" t="s">
        <v>359</v>
      </c>
      <c r="D66" s="105" t="s">
        <v>76</v>
      </c>
      <c r="E66" s="154">
        <v>50160</v>
      </c>
      <c r="F66" s="155">
        <v>0</v>
      </c>
      <c r="G66" s="114" t="s">
        <v>173</v>
      </c>
      <c r="H66" s="154">
        <v>0</v>
      </c>
      <c r="I66" s="155">
        <f t="shared" si="0"/>
        <v>0</v>
      </c>
      <c r="J66" s="156"/>
      <c r="K66" s="154">
        <v>0</v>
      </c>
      <c r="L66" s="155">
        <f t="shared" si="1"/>
        <v>0</v>
      </c>
      <c r="M66" s="156"/>
      <c r="N66" s="154">
        <v>0</v>
      </c>
      <c r="O66" s="155">
        <f t="shared" si="2"/>
        <v>0</v>
      </c>
      <c r="P66" s="156"/>
      <c r="Q66" s="154">
        <f t="shared" si="7"/>
        <v>3511.2000000000003</v>
      </c>
      <c r="R66" s="155">
        <f t="shared" si="3"/>
        <v>0</v>
      </c>
      <c r="S66" s="181" t="s">
        <v>25</v>
      </c>
      <c r="T66" s="157">
        <v>0</v>
      </c>
      <c r="U66" s="155">
        <f t="shared" si="4"/>
        <v>0</v>
      </c>
      <c r="V66" s="158"/>
      <c r="W66" s="118">
        <f t="shared" si="8"/>
        <v>53671.199999999997</v>
      </c>
      <c r="X66" s="159">
        <f t="shared" si="9"/>
        <v>0</v>
      </c>
    </row>
    <row r="67" spans="1:28" s="110" customFormat="1" ht="78">
      <c r="A67" s="229"/>
      <c r="B67" s="152" t="s">
        <v>174</v>
      </c>
      <c r="C67" s="153" t="s">
        <v>360</v>
      </c>
      <c r="D67" s="105" t="s">
        <v>80</v>
      </c>
      <c r="E67" s="154">
        <v>144400</v>
      </c>
      <c r="F67" s="155">
        <v>0</v>
      </c>
      <c r="G67" s="184" t="s">
        <v>286</v>
      </c>
      <c r="H67" s="154">
        <v>0</v>
      </c>
      <c r="I67" s="155">
        <f t="shared" ref="I67:I88" si="13">0.22*H67</f>
        <v>0</v>
      </c>
      <c r="J67" s="156"/>
      <c r="K67" s="154">
        <v>0</v>
      </c>
      <c r="L67" s="155">
        <f t="shared" ref="L67:L88" si="14">0.22*K67</f>
        <v>0</v>
      </c>
      <c r="M67" s="156"/>
      <c r="N67" s="154">
        <v>0</v>
      </c>
      <c r="O67" s="155">
        <f t="shared" ref="O67:O88" si="15">0.22*N67</f>
        <v>0</v>
      </c>
      <c r="P67" s="156"/>
      <c r="Q67" s="154">
        <f t="shared" ref="Q67:Q88" si="16">0.07*(E67+H67+K67+N67+T67)</f>
        <v>10108.000000000002</v>
      </c>
      <c r="R67" s="155">
        <f t="shared" ref="R67:R88" si="17">0.07*(F67+I67+L67+O67+U67)</f>
        <v>0</v>
      </c>
      <c r="S67" s="181" t="s">
        <v>25</v>
      </c>
      <c r="T67" s="157">
        <v>0</v>
      </c>
      <c r="U67" s="155">
        <f t="shared" ref="U67:U79" si="18">0.22*T67</f>
        <v>0</v>
      </c>
      <c r="V67" s="158"/>
      <c r="W67" s="118">
        <f t="shared" si="8"/>
        <v>154508</v>
      </c>
      <c r="X67" s="159">
        <f t="shared" si="9"/>
        <v>0</v>
      </c>
    </row>
    <row r="68" spans="1:28" s="110" customFormat="1" ht="34.049999999999997" customHeight="1">
      <c r="A68" s="229"/>
      <c r="B68" s="152" t="s">
        <v>175</v>
      </c>
      <c r="C68" s="153" t="s">
        <v>361</v>
      </c>
      <c r="D68" s="105" t="s">
        <v>20</v>
      </c>
      <c r="E68" s="154">
        <v>34056</v>
      </c>
      <c r="F68" s="155">
        <v>0</v>
      </c>
      <c r="G68" s="156" t="s">
        <v>176</v>
      </c>
      <c r="H68" s="154">
        <v>0</v>
      </c>
      <c r="I68" s="155">
        <f t="shared" si="13"/>
        <v>0</v>
      </c>
      <c r="J68" s="156"/>
      <c r="K68" s="154">
        <v>0</v>
      </c>
      <c r="L68" s="155">
        <f t="shared" si="14"/>
        <v>0</v>
      </c>
      <c r="M68" s="156"/>
      <c r="N68" s="154">
        <v>0</v>
      </c>
      <c r="O68" s="155">
        <f t="shared" si="15"/>
        <v>0</v>
      </c>
      <c r="P68" s="156"/>
      <c r="Q68" s="154">
        <f t="shared" si="16"/>
        <v>2383.92</v>
      </c>
      <c r="R68" s="155">
        <f t="shared" si="17"/>
        <v>0</v>
      </c>
      <c r="S68" s="156" t="s">
        <v>140</v>
      </c>
      <c r="T68" s="157">
        <v>0</v>
      </c>
      <c r="U68" s="155">
        <f t="shared" si="18"/>
        <v>0</v>
      </c>
      <c r="V68" s="158"/>
      <c r="W68" s="118">
        <f t="shared" si="8"/>
        <v>36439.919999999998</v>
      </c>
      <c r="X68" s="159">
        <f t="shared" si="9"/>
        <v>0</v>
      </c>
    </row>
    <row r="69" spans="1:28" s="110" customFormat="1" ht="124.8">
      <c r="A69" s="229"/>
      <c r="B69" s="152" t="s">
        <v>177</v>
      </c>
      <c r="C69" s="153" t="s">
        <v>362</v>
      </c>
      <c r="D69" s="105" t="s">
        <v>87</v>
      </c>
      <c r="E69" s="154">
        <v>69750</v>
      </c>
      <c r="F69" s="155">
        <v>0</v>
      </c>
      <c r="G69" s="181" t="s">
        <v>271</v>
      </c>
      <c r="H69" s="154">
        <v>0</v>
      </c>
      <c r="I69" s="155">
        <f t="shared" si="13"/>
        <v>0</v>
      </c>
      <c r="J69" s="156"/>
      <c r="K69" s="154">
        <v>6000</v>
      </c>
      <c r="L69" s="155">
        <f t="shared" si="14"/>
        <v>1320</v>
      </c>
      <c r="M69" s="156" t="s">
        <v>178</v>
      </c>
      <c r="N69" s="154">
        <v>0</v>
      </c>
      <c r="O69" s="155">
        <f t="shared" si="15"/>
        <v>0</v>
      </c>
      <c r="P69" s="156"/>
      <c r="Q69" s="154">
        <f t="shared" si="16"/>
        <v>5302.5000000000009</v>
      </c>
      <c r="R69" s="155">
        <f t="shared" si="17"/>
        <v>92.4</v>
      </c>
      <c r="S69" s="156" t="s">
        <v>179</v>
      </c>
      <c r="T69" s="157">
        <v>0</v>
      </c>
      <c r="U69" s="155">
        <f t="shared" si="18"/>
        <v>0</v>
      </c>
      <c r="V69" s="158"/>
      <c r="W69" s="118">
        <f t="shared" si="8"/>
        <v>81052.5</v>
      </c>
      <c r="X69" s="159">
        <f t="shared" si="9"/>
        <v>1412.4</v>
      </c>
      <c r="Y69" s="113"/>
    </row>
    <row r="70" spans="1:28" s="110" customFormat="1" ht="62.4">
      <c r="A70" s="229"/>
      <c r="B70" s="152" t="s">
        <v>180</v>
      </c>
      <c r="C70" s="153" t="s">
        <v>363</v>
      </c>
      <c r="D70" s="105" t="s">
        <v>37</v>
      </c>
      <c r="E70" s="154">
        <v>13950</v>
      </c>
      <c r="F70" s="155">
        <v>0</v>
      </c>
      <c r="G70" s="184" t="s">
        <v>181</v>
      </c>
      <c r="H70" s="154">
        <v>0</v>
      </c>
      <c r="I70" s="155">
        <f t="shared" si="13"/>
        <v>0</v>
      </c>
      <c r="J70" s="156"/>
      <c r="K70" s="154">
        <v>0</v>
      </c>
      <c r="L70" s="155">
        <f t="shared" si="14"/>
        <v>0</v>
      </c>
      <c r="M70" s="156"/>
      <c r="N70" s="154">
        <v>0</v>
      </c>
      <c r="O70" s="155">
        <f t="shared" si="15"/>
        <v>0</v>
      </c>
      <c r="P70" s="156"/>
      <c r="Q70" s="154">
        <f t="shared" si="16"/>
        <v>976.50000000000011</v>
      </c>
      <c r="R70" s="155">
        <f t="shared" si="17"/>
        <v>0</v>
      </c>
      <c r="S70" s="184" t="s">
        <v>25</v>
      </c>
      <c r="T70" s="157">
        <v>0</v>
      </c>
      <c r="U70" s="155">
        <f t="shared" si="18"/>
        <v>0</v>
      </c>
      <c r="V70" s="158"/>
      <c r="W70" s="118">
        <f t="shared" si="8"/>
        <v>14926.5</v>
      </c>
      <c r="X70" s="159">
        <f t="shared" si="9"/>
        <v>0</v>
      </c>
    </row>
    <row r="71" spans="1:28" s="110" customFormat="1" ht="46.8">
      <c r="A71" s="229"/>
      <c r="B71" s="152" t="s">
        <v>182</v>
      </c>
      <c r="C71" s="153" t="s">
        <v>364</v>
      </c>
      <c r="D71" s="105" t="s">
        <v>16</v>
      </c>
      <c r="E71" s="154">
        <f>2*50160</f>
        <v>100320</v>
      </c>
      <c r="F71" s="155">
        <v>0</v>
      </c>
      <c r="G71" s="184" t="s">
        <v>301</v>
      </c>
      <c r="H71" s="154">
        <v>83000</v>
      </c>
      <c r="I71" s="155">
        <f t="shared" si="13"/>
        <v>18260</v>
      </c>
      <c r="J71" s="225" t="s">
        <v>313</v>
      </c>
      <c r="K71" s="154">
        <v>0</v>
      </c>
      <c r="L71" s="155">
        <f t="shared" si="14"/>
        <v>0</v>
      </c>
      <c r="M71" s="156"/>
      <c r="N71" s="154">
        <v>0</v>
      </c>
      <c r="O71" s="155">
        <f t="shared" si="15"/>
        <v>0</v>
      </c>
      <c r="P71" s="156"/>
      <c r="Q71" s="154">
        <f t="shared" si="16"/>
        <v>12832.400000000001</v>
      </c>
      <c r="R71" s="155">
        <f t="shared" si="17"/>
        <v>1278.2</v>
      </c>
      <c r="S71" s="156" t="s">
        <v>183</v>
      </c>
      <c r="T71" s="157">
        <v>0</v>
      </c>
      <c r="U71" s="155">
        <f t="shared" si="18"/>
        <v>0</v>
      </c>
      <c r="V71" s="158"/>
      <c r="W71" s="118">
        <f t="shared" si="8"/>
        <v>196152.4</v>
      </c>
      <c r="X71" s="159">
        <f t="shared" si="9"/>
        <v>19538.2</v>
      </c>
      <c r="Z71" s="113">
        <f>SUM(H58:H77)</f>
        <v>243500</v>
      </c>
      <c r="AA71" s="113">
        <f>SUM(I58:I77)</f>
        <v>53570</v>
      </c>
      <c r="AB71" s="113">
        <f>Z71+AA71</f>
        <v>297070</v>
      </c>
    </row>
    <row r="72" spans="1:28" s="110" customFormat="1" ht="46.95" customHeight="1">
      <c r="A72" s="229"/>
      <c r="B72" s="161" t="s">
        <v>184</v>
      </c>
      <c r="C72" s="162" t="s">
        <v>365</v>
      </c>
      <c r="D72" s="105" t="s">
        <v>64</v>
      </c>
      <c r="E72" s="122">
        <f>50160/12*5</f>
        <v>20900</v>
      </c>
      <c r="F72" s="124">
        <v>0</v>
      </c>
      <c r="G72" s="163" t="s">
        <v>185</v>
      </c>
      <c r="H72" s="122">
        <v>0</v>
      </c>
      <c r="I72" s="124">
        <f t="shared" si="13"/>
        <v>0</v>
      </c>
      <c r="J72" s="163"/>
      <c r="K72" s="122">
        <v>0</v>
      </c>
      <c r="L72" s="124">
        <f t="shared" si="14"/>
        <v>0</v>
      </c>
      <c r="M72" s="163"/>
      <c r="N72" s="122">
        <v>0</v>
      </c>
      <c r="O72" s="124">
        <f t="shared" si="15"/>
        <v>0</v>
      </c>
      <c r="P72" s="163"/>
      <c r="Q72" s="122">
        <f t="shared" si="16"/>
        <v>1463.0000000000002</v>
      </c>
      <c r="R72" s="124">
        <f t="shared" si="17"/>
        <v>0</v>
      </c>
      <c r="S72" s="214" t="s">
        <v>25</v>
      </c>
      <c r="T72" s="164">
        <v>0</v>
      </c>
      <c r="U72" s="124">
        <f t="shared" si="18"/>
        <v>0</v>
      </c>
      <c r="V72" s="165"/>
      <c r="W72" s="119">
        <f t="shared" si="8"/>
        <v>22363</v>
      </c>
      <c r="X72" s="166">
        <f t="shared" si="9"/>
        <v>0</v>
      </c>
    </row>
    <row r="73" spans="1:28" s="110" customFormat="1" ht="33" customHeight="1">
      <c r="A73" s="229"/>
      <c r="B73" s="161" t="s">
        <v>186</v>
      </c>
      <c r="C73" s="162" t="s">
        <v>366</v>
      </c>
      <c r="D73" s="220" t="s">
        <v>29</v>
      </c>
      <c r="E73" s="122">
        <v>150480</v>
      </c>
      <c r="F73" s="124">
        <v>0</v>
      </c>
      <c r="G73" s="163" t="s">
        <v>187</v>
      </c>
      <c r="H73" s="122">
        <v>90000</v>
      </c>
      <c r="I73" s="124">
        <f t="shared" si="13"/>
        <v>19800</v>
      </c>
      <c r="J73" s="214" t="s">
        <v>257</v>
      </c>
      <c r="K73" s="122">
        <v>0</v>
      </c>
      <c r="L73" s="124">
        <f t="shared" si="14"/>
        <v>0</v>
      </c>
      <c r="M73" s="163"/>
      <c r="N73" s="122">
        <v>0</v>
      </c>
      <c r="O73" s="124">
        <f t="shared" si="15"/>
        <v>0</v>
      </c>
      <c r="P73" s="163"/>
      <c r="Q73" s="122">
        <f t="shared" si="16"/>
        <v>16833.600000000002</v>
      </c>
      <c r="R73" s="124">
        <f t="shared" si="17"/>
        <v>1386.0000000000002</v>
      </c>
      <c r="S73" s="163" t="s">
        <v>66</v>
      </c>
      <c r="T73" s="164">
        <v>0</v>
      </c>
      <c r="U73" s="124">
        <f t="shared" si="18"/>
        <v>0</v>
      </c>
      <c r="V73" s="165"/>
      <c r="W73" s="119">
        <f t="shared" si="8"/>
        <v>257313.6</v>
      </c>
      <c r="X73" s="166">
        <f t="shared" si="9"/>
        <v>21186</v>
      </c>
      <c r="Y73" s="113"/>
      <c r="Z73" s="113"/>
    </row>
    <row r="74" spans="1:28" s="110" customFormat="1" ht="171.6">
      <c r="A74" s="229"/>
      <c r="B74" s="161" t="s">
        <v>188</v>
      </c>
      <c r="C74" s="162" t="s">
        <v>367</v>
      </c>
      <c r="D74" s="108" t="s">
        <v>76</v>
      </c>
      <c r="E74" s="122">
        <v>41800</v>
      </c>
      <c r="F74" s="124">
        <v>0</v>
      </c>
      <c r="G74" s="163" t="s">
        <v>189</v>
      </c>
      <c r="H74" s="122">
        <v>0</v>
      </c>
      <c r="I74" s="124">
        <f t="shared" si="13"/>
        <v>0</v>
      </c>
      <c r="J74" s="163"/>
      <c r="K74" s="122">
        <v>0</v>
      </c>
      <c r="L74" s="124">
        <f t="shared" si="14"/>
        <v>0</v>
      </c>
      <c r="M74" s="163"/>
      <c r="N74" s="122">
        <v>0</v>
      </c>
      <c r="O74" s="124">
        <f t="shared" si="15"/>
        <v>0</v>
      </c>
      <c r="P74" s="163"/>
      <c r="Q74" s="122">
        <f t="shared" si="16"/>
        <v>2926.0000000000005</v>
      </c>
      <c r="R74" s="124">
        <f t="shared" si="17"/>
        <v>0</v>
      </c>
      <c r="S74" s="214" t="s">
        <v>25</v>
      </c>
      <c r="T74" s="164">
        <v>0</v>
      </c>
      <c r="U74" s="124">
        <f t="shared" si="18"/>
        <v>0</v>
      </c>
      <c r="V74" s="165"/>
      <c r="W74" s="119">
        <f t="shared" ref="W74:W89" si="19">E74+H74+K74+N74+Q74+T74</f>
        <v>44726</v>
      </c>
      <c r="X74" s="166">
        <f t="shared" ref="X74:X89" si="20">F74+I74+L74+O74+R74+U74</f>
        <v>0</v>
      </c>
    </row>
    <row r="75" spans="1:28" s="110" customFormat="1" ht="46.8">
      <c r="A75" s="229"/>
      <c r="B75" s="161" t="s">
        <v>190</v>
      </c>
      <c r="C75" s="162" t="s">
        <v>368</v>
      </c>
      <c r="D75" s="108" t="s">
        <v>80</v>
      </c>
      <c r="E75" s="122">
        <f>19*50160/12</f>
        <v>79420</v>
      </c>
      <c r="F75" s="124">
        <v>0</v>
      </c>
      <c r="G75" s="214" t="s">
        <v>281</v>
      </c>
      <c r="H75" s="122">
        <v>30000</v>
      </c>
      <c r="I75" s="124">
        <f t="shared" si="13"/>
        <v>6600</v>
      </c>
      <c r="J75" s="163" t="s">
        <v>191</v>
      </c>
      <c r="K75" s="122">
        <v>0</v>
      </c>
      <c r="L75" s="124"/>
      <c r="M75" s="163"/>
      <c r="N75" s="122">
        <v>0</v>
      </c>
      <c r="O75" s="124">
        <f t="shared" si="15"/>
        <v>0</v>
      </c>
      <c r="P75" s="163"/>
      <c r="Q75" s="122">
        <f t="shared" si="16"/>
        <v>7659.4000000000005</v>
      </c>
      <c r="R75" s="124">
        <f t="shared" si="17"/>
        <v>462.00000000000006</v>
      </c>
      <c r="S75" s="163" t="s">
        <v>83</v>
      </c>
      <c r="T75" s="164">
        <v>0</v>
      </c>
      <c r="U75" s="124">
        <f t="shared" si="18"/>
        <v>0</v>
      </c>
      <c r="V75" s="165"/>
      <c r="W75" s="119">
        <f t="shared" si="19"/>
        <v>117079.4</v>
      </c>
      <c r="X75" s="166">
        <f t="shared" si="20"/>
        <v>7062</v>
      </c>
      <c r="Y75" s="113"/>
    </row>
    <row r="76" spans="1:28" s="110" customFormat="1" ht="124.8">
      <c r="A76" s="229"/>
      <c r="B76" s="161" t="s">
        <v>192</v>
      </c>
      <c r="C76" s="162" t="s">
        <v>369</v>
      </c>
      <c r="D76" s="108" t="s">
        <v>87</v>
      </c>
      <c r="E76" s="122">
        <v>23250</v>
      </c>
      <c r="F76" s="124">
        <v>0</v>
      </c>
      <c r="G76" s="214" t="s">
        <v>272</v>
      </c>
      <c r="H76" s="122">
        <v>20500</v>
      </c>
      <c r="I76" s="124">
        <f t="shared" si="13"/>
        <v>4510</v>
      </c>
      <c r="J76" s="163" t="s">
        <v>193</v>
      </c>
      <c r="K76" s="122">
        <v>0</v>
      </c>
      <c r="L76" s="124">
        <f t="shared" si="14"/>
        <v>0</v>
      </c>
      <c r="M76" s="163"/>
      <c r="N76" s="122">
        <v>0</v>
      </c>
      <c r="O76" s="124">
        <f t="shared" si="15"/>
        <v>0</v>
      </c>
      <c r="P76" s="163"/>
      <c r="Q76" s="122">
        <f t="shared" si="16"/>
        <v>3062.5000000000005</v>
      </c>
      <c r="R76" s="124">
        <f t="shared" si="17"/>
        <v>315.70000000000005</v>
      </c>
      <c r="S76" s="163" t="s">
        <v>179</v>
      </c>
      <c r="T76" s="164">
        <v>0</v>
      </c>
      <c r="U76" s="124">
        <f t="shared" si="18"/>
        <v>0</v>
      </c>
      <c r="V76" s="165"/>
      <c r="W76" s="119">
        <f t="shared" si="19"/>
        <v>46812.5</v>
      </c>
      <c r="X76" s="166">
        <f t="shared" si="20"/>
        <v>4825.7</v>
      </c>
      <c r="Y76" s="113"/>
      <c r="Z76" s="113"/>
    </row>
    <row r="77" spans="1:28" s="110" customFormat="1" ht="238.95" customHeight="1">
      <c r="A77" s="230"/>
      <c r="B77" s="167" t="s">
        <v>194</v>
      </c>
      <c r="C77" s="168" t="s">
        <v>370</v>
      </c>
      <c r="D77" s="106" t="s">
        <v>37</v>
      </c>
      <c r="E77" s="123">
        <v>116250</v>
      </c>
      <c r="F77" s="169">
        <v>0</v>
      </c>
      <c r="G77" s="183" t="s">
        <v>288</v>
      </c>
      <c r="H77" s="123">
        <v>0</v>
      </c>
      <c r="I77" s="169">
        <f t="shared" si="13"/>
        <v>0</v>
      </c>
      <c r="J77" s="170"/>
      <c r="K77" s="123">
        <v>0</v>
      </c>
      <c r="L77" s="169">
        <f t="shared" si="14"/>
        <v>0</v>
      </c>
      <c r="M77" s="170"/>
      <c r="N77" s="123">
        <v>0</v>
      </c>
      <c r="O77" s="169">
        <f t="shared" si="15"/>
        <v>0</v>
      </c>
      <c r="P77" s="170"/>
      <c r="Q77" s="123">
        <f t="shared" si="16"/>
        <v>8137.5000000000009</v>
      </c>
      <c r="R77" s="169">
        <f t="shared" si="17"/>
        <v>0</v>
      </c>
      <c r="S77" s="183" t="s">
        <v>25</v>
      </c>
      <c r="T77" s="171">
        <v>0</v>
      </c>
      <c r="U77" s="169">
        <f t="shared" si="18"/>
        <v>0</v>
      </c>
      <c r="V77" s="172"/>
      <c r="W77" s="120">
        <f t="shared" si="19"/>
        <v>124387.5</v>
      </c>
      <c r="X77" s="173">
        <f t="shared" si="20"/>
        <v>0</v>
      </c>
    </row>
    <row r="78" spans="1:28" s="110" customFormat="1" ht="37.950000000000003" customHeight="1">
      <c r="A78" s="229"/>
      <c r="B78" s="178" t="s">
        <v>196</v>
      </c>
      <c r="C78" s="153" t="s">
        <v>198</v>
      </c>
      <c r="D78" s="105" t="s">
        <v>16</v>
      </c>
      <c r="E78" s="154">
        <v>0</v>
      </c>
      <c r="F78" s="155">
        <v>0</v>
      </c>
      <c r="G78" s="114"/>
      <c r="H78" s="154">
        <v>0</v>
      </c>
      <c r="I78" s="155">
        <f t="shared" si="13"/>
        <v>0</v>
      </c>
      <c r="J78" s="156"/>
      <c r="K78" s="154">
        <v>0</v>
      </c>
      <c r="L78" s="155">
        <f t="shared" si="14"/>
        <v>0</v>
      </c>
      <c r="M78" s="156"/>
      <c r="N78" s="154">
        <v>0</v>
      </c>
      <c r="O78" s="155">
        <f t="shared" si="15"/>
        <v>0</v>
      </c>
      <c r="P78" s="156"/>
      <c r="Q78" s="154">
        <f t="shared" si="16"/>
        <v>3038.0000000000005</v>
      </c>
      <c r="R78" s="155">
        <f t="shared" si="17"/>
        <v>0</v>
      </c>
      <c r="S78" s="156" t="s">
        <v>41</v>
      </c>
      <c r="T78" s="157">
        <f>28400+15000</f>
        <v>43400</v>
      </c>
      <c r="U78" s="155">
        <v>0</v>
      </c>
      <c r="V78" s="158" t="s">
        <v>199</v>
      </c>
      <c r="W78" s="118">
        <f t="shared" si="19"/>
        <v>46438</v>
      </c>
      <c r="X78" s="159">
        <f t="shared" si="20"/>
        <v>0</v>
      </c>
    </row>
    <row r="79" spans="1:28" s="110" customFormat="1" ht="124.8">
      <c r="A79" s="229"/>
      <c r="B79" s="178" t="s">
        <v>197</v>
      </c>
      <c r="C79" s="153" t="s">
        <v>201</v>
      </c>
      <c r="D79" s="105" t="s">
        <v>44</v>
      </c>
      <c r="E79" s="154">
        <v>6270</v>
      </c>
      <c r="F79" s="155">
        <v>0</v>
      </c>
      <c r="G79" s="225" t="s">
        <v>254</v>
      </c>
      <c r="H79" s="154">
        <v>0</v>
      </c>
      <c r="I79" s="155">
        <f t="shared" si="13"/>
        <v>0</v>
      </c>
      <c r="J79" s="156"/>
      <c r="K79" s="154">
        <v>0</v>
      </c>
      <c r="L79" s="155">
        <f t="shared" si="14"/>
        <v>0</v>
      </c>
      <c r="M79" s="156"/>
      <c r="N79" s="154">
        <v>0</v>
      </c>
      <c r="O79" s="155">
        <f t="shared" si="15"/>
        <v>0</v>
      </c>
      <c r="P79" s="156"/>
      <c r="Q79" s="154">
        <f t="shared" si="16"/>
        <v>438.90000000000003</v>
      </c>
      <c r="R79" s="155">
        <f t="shared" si="17"/>
        <v>0</v>
      </c>
      <c r="S79" s="181" t="s">
        <v>25</v>
      </c>
      <c r="T79" s="157">
        <v>0</v>
      </c>
      <c r="U79" s="155">
        <f t="shared" si="18"/>
        <v>0</v>
      </c>
      <c r="V79" s="158"/>
      <c r="W79" s="118">
        <f t="shared" si="19"/>
        <v>6708.9</v>
      </c>
      <c r="X79" s="159">
        <f t="shared" si="20"/>
        <v>0</v>
      </c>
    </row>
    <row r="80" spans="1:28" s="110" customFormat="1" ht="62.4">
      <c r="A80" s="229"/>
      <c r="B80" s="178" t="s">
        <v>200</v>
      </c>
      <c r="C80" s="153" t="s">
        <v>203</v>
      </c>
      <c r="D80" s="105" t="s">
        <v>59</v>
      </c>
      <c r="E80" s="154">
        <v>8360</v>
      </c>
      <c r="F80" s="155">
        <v>0</v>
      </c>
      <c r="G80" s="156" t="s">
        <v>204</v>
      </c>
      <c r="H80" s="154">
        <v>0</v>
      </c>
      <c r="I80" s="155">
        <f t="shared" si="13"/>
        <v>0</v>
      </c>
      <c r="J80" s="156"/>
      <c r="K80" s="154">
        <v>0</v>
      </c>
      <c r="L80" s="155">
        <f t="shared" si="14"/>
        <v>0</v>
      </c>
      <c r="M80" s="156"/>
      <c r="N80" s="154">
        <v>0</v>
      </c>
      <c r="O80" s="155">
        <f t="shared" si="15"/>
        <v>0</v>
      </c>
      <c r="P80" s="156"/>
      <c r="Q80" s="154">
        <f t="shared" si="16"/>
        <v>2573.2000000000003</v>
      </c>
      <c r="R80" s="155">
        <f t="shared" si="17"/>
        <v>0</v>
      </c>
      <c r="S80" s="181" t="s">
        <v>25</v>
      </c>
      <c r="T80" s="157">
        <f>2*14200</f>
        <v>28400</v>
      </c>
      <c r="U80" s="155">
        <v>0</v>
      </c>
      <c r="V80" s="158" t="s">
        <v>205</v>
      </c>
      <c r="W80" s="118">
        <f t="shared" si="19"/>
        <v>39333.199999999997</v>
      </c>
      <c r="X80" s="159">
        <f t="shared" si="20"/>
        <v>0</v>
      </c>
    </row>
    <row r="81" spans="1:25" s="110" customFormat="1" ht="85.05" customHeight="1">
      <c r="A81" s="229"/>
      <c r="B81" s="178" t="s">
        <v>202</v>
      </c>
      <c r="C81" s="153" t="s">
        <v>207</v>
      </c>
      <c r="D81" s="105" t="s">
        <v>64</v>
      </c>
      <c r="E81" s="154">
        <v>8360</v>
      </c>
      <c r="F81" s="155">
        <v>0</v>
      </c>
      <c r="G81" s="156" t="s">
        <v>208</v>
      </c>
      <c r="H81" s="154">
        <v>0</v>
      </c>
      <c r="I81" s="155">
        <f t="shared" si="13"/>
        <v>0</v>
      </c>
      <c r="J81" s="156"/>
      <c r="K81" s="154">
        <v>0</v>
      </c>
      <c r="L81" s="155">
        <f t="shared" si="14"/>
        <v>0</v>
      </c>
      <c r="M81" s="156"/>
      <c r="N81" s="154">
        <v>0</v>
      </c>
      <c r="O81" s="155">
        <f t="shared" si="15"/>
        <v>0</v>
      </c>
      <c r="P81" s="156"/>
      <c r="Q81" s="154">
        <f t="shared" si="16"/>
        <v>1579.2</v>
      </c>
      <c r="R81" s="155">
        <f t="shared" si="17"/>
        <v>0</v>
      </c>
      <c r="S81" s="156" t="s">
        <v>25</v>
      </c>
      <c r="T81" s="157">
        <v>14200</v>
      </c>
      <c r="U81" s="155">
        <v>0</v>
      </c>
      <c r="V81" s="158" t="s">
        <v>209</v>
      </c>
      <c r="W81" s="118">
        <f t="shared" si="19"/>
        <v>24139.200000000001</v>
      </c>
      <c r="X81" s="159">
        <f t="shared" si="20"/>
        <v>0</v>
      </c>
    </row>
    <row r="82" spans="1:25" s="110" customFormat="1">
      <c r="A82" s="229"/>
      <c r="B82" s="178" t="s">
        <v>206</v>
      </c>
      <c r="C82" s="153" t="s">
        <v>211</v>
      </c>
      <c r="D82" s="220" t="s">
        <v>29</v>
      </c>
      <c r="E82" s="154">
        <v>0</v>
      </c>
      <c r="F82" s="155">
        <v>0</v>
      </c>
      <c r="G82" s="156"/>
      <c r="H82" s="154">
        <v>0</v>
      </c>
      <c r="I82" s="155">
        <f t="shared" si="13"/>
        <v>0</v>
      </c>
      <c r="J82" s="156"/>
      <c r="K82" s="154">
        <v>0</v>
      </c>
      <c r="L82" s="155">
        <f t="shared" si="14"/>
        <v>0</v>
      </c>
      <c r="M82" s="156"/>
      <c r="N82" s="154">
        <v>0</v>
      </c>
      <c r="O82" s="155">
        <f t="shared" si="15"/>
        <v>0</v>
      </c>
      <c r="P82" s="156"/>
      <c r="Q82" s="154">
        <f t="shared" si="16"/>
        <v>5930.9880000000003</v>
      </c>
      <c r="R82" s="155">
        <f t="shared" si="17"/>
        <v>0</v>
      </c>
      <c r="S82" s="156" t="s">
        <v>25</v>
      </c>
      <c r="T82" s="157">
        <v>84728.4</v>
      </c>
      <c r="U82" s="155">
        <v>0</v>
      </c>
      <c r="V82" s="158" t="s">
        <v>212</v>
      </c>
      <c r="W82" s="118">
        <f t="shared" si="19"/>
        <v>90659.387999999992</v>
      </c>
      <c r="X82" s="159">
        <f t="shared" si="20"/>
        <v>0</v>
      </c>
    </row>
    <row r="83" spans="1:25" s="110" customFormat="1">
      <c r="A83" s="229"/>
      <c r="B83" s="178" t="s">
        <v>210</v>
      </c>
      <c r="C83" s="153" t="s">
        <v>214</v>
      </c>
      <c r="D83" s="105" t="s">
        <v>72</v>
      </c>
      <c r="E83" s="154">
        <v>0</v>
      </c>
      <c r="F83" s="155">
        <v>0</v>
      </c>
      <c r="G83" s="156"/>
      <c r="H83" s="154">
        <v>0</v>
      </c>
      <c r="I83" s="155">
        <f t="shared" si="13"/>
        <v>0</v>
      </c>
      <c r="J83" s="156"/>
      <c r="K83" s="154">
        <v>0</v>
      </c>
      <c r="L83" s="155">
        <f t="shared" si="14"/>
        <v>0</v>
      </c>
      <c r="M83" s="156"/>
      <c r="N83" s="154">
        <v>0</v>
      </c>
      <c r="O83" s="155">
        <f t="shared" si="15"/>
        <v>0</v>
      </c>
      <c r="P83" s="156"/>
      <c r="Q83" s="154">
        <f t="shared" si="16"/>
        <v>994.00000000000011</v>
      </c>
      <c r="R83" s="155">
        <f t="shared" si="17"/>
        <v>0</v>
      </c>
      <c r="S83" s="181" t="s">
        <v>25</v>
      </c>
      <c r="T83" s="157">
        <v>14200</v>
      </c>
      <c r="U83" s="155">
        <v>0</v>
      </c>
      <c r="V83" s="158" t="s">
        <v>215</v>
      </c>
      <c r="W83" s="118">
        <f t="shared" si="19"/>
        <v>15194</v>
      </c>
      <c r="X83" s="159">
        <f t="shared" si="20"/>
        <v>0</v>
      </c>
    </row>
    <row r="84" spans="1:25" s="110" customFormat="1" ht="226.05" customHeight="1">
      <c r="A84" s="229"/>
      <c r="B84" s="178" t="s">
        <v>213</v>
      </c>
      <c r="C84" s="153" t="s">
        <v>217</v>
      </c>
      <c r="D84" s="105" t="s">
        <v>76</v>
      </c>
      <c r="E84" s="154">
        <v>8360</v>
      </c>
      <c r="F84" s="155">
        <v>0</v>
      </c>
      <c r="G84" s="156" t="s">
        <v>218</v>
      </c>
      <c r="H84" s="154">
        <v>0</v>
      </c>
      <c r="I84" s="155">
        <f t="shared" si="13"/>
        <v>0</v>
      </c>
      <c r="J84" s="156"/>
      <c r="K84" s="154">
        <v>0</v>
      </c>
      <c r="L84" s="155">
        <f t="shared" si="14"/>
        <v>0</v>
      </c>
      <c r="M84" s="156"/>
      <c r="N84" s="154">
        <v>0</v>
      </c>
      <c r="O84" s="155">
        <f t="shared" si="15"/>
        <v>0</v>
      </c>
      <c r="P84" s="156"/>
      <c r="Q84" s="154">
        <f t="shared" si="16"/>
        <v>585.20000000000005</v>
      </c>
      <c r="R84" s="155">
        <f t="shared" si="17"/>
        <v>0</v>
      </c>
      <c r="S84" s="181" t="s">
        <v>25</v>
      </c>
      <c r="T84" s="157">
        <v>0</v>
      </c>
      <c r="U84" s="155">
        <v>0</v>
      </c>
      <c r="V84" s="158"/>
      <c r="W84" s="118">
        <f t="shared" si="19"/>
        <v>8945.2000000000007</v>
      </c>
      <c r="X84" s="159">
        <f t="shared" si="20"/>
        <v>0</v>
      </c>
    </row>
    <row r="85" spans="1:25" s="110" customFormat="1" ht="31.2">
      <c r="A85" s="229"/>
      <c r="B85" s="178" t="s">
        <v>216</v>
      </c>
      <c r="C85" s="162" t="s">
        <v>220</v>
      </c>
      <c r="D85" s="108" t="s">
        <v>80</v>
      </c>
      <c r="E85" s="122">
        <v>25080</v>
      </c>
      <c r="F85" s="155">
        <v>0</v>
      </c>
      <c r="G85" s="163" t="s">
        <v>221</v>
      </c>
      <c r="H85" s="122">
        <v>0</v>
      </c>
      <c r="I85" s="124">
        <f t="shared" si="13"/>
        <v>0</v>
      </c>
      <c r="J85" s="163"/>
      <c r="K85" s="122">
        <v>0</v>
      </c>
      <c r="L85" s="124">
        <f t="shared" si="14"/>
        <v>0</v>
      </c>
      <c r="M85" s="163"/>
      <c r="N85" s="122">
        <v>0</v>
      </c>
      <c r="O85" s="124">
        <f t="shared" si="15"/>
        <v>0</v>
      </c>
      <c r="P85" s="163"/>
      <c r="Q85" s="122">
        <f t="shared" si="16"/>
        <v>4800.6000000000004</v>
      </c>
      <c r="R85" s="124">
        <f t="shared" si="17"/>
        <v>0</v>
      </c>
      <c r="S85" s="214" t="s">
        <v>282</v>
      </c>
      <c r="T85" s="164">
        <v>43500</v>
      </c>
      <c r="U85" s="155">
        <v>0</v>
      </c>
      <c r="V85" s="165" t="s">
        <v>222</v>
      </c>
      <c r="W85" s="118">
        <f t="shared" si="19"/>
        <v>73380.600000000006</v>
      </c>
      <c r="X85" s="159">
        <f t="shared" si="20"/>
        <v>0</v>
      </c>
    </row>
    <row r="86" spans="1:25" s="110" customFormat="1" ht="31.2">
      <c r="A86" s="229"/>
      <c r="B86" s="178" t="s">
        <v>219</v>
      </c>
      <c r="C86" s="162" t="s">
        <v>224</v>
      </c>
      <c r="D86" s="105" t="s">
        <v>20</v>
      </c>
      <c r="E86" s="122">
        <v>0</v>
      </c>
      <c r="F86" s="155">
        <v>0</v>
      </c>
      <c r="G86" s="163"/>
      <c r="H86" s="122">
        <v>0</v>
      </c>
      <c r="I86" s="124">
        <f t="shared" si="13"/>
        <v>0</v>
      </c>
      <c r="J86" s="163"/>
      <c r="K86" s="122">
        <v>0</v>
      </c>
      <c r="L86" s="124">
        <f t="shared" si="14"/>
        <v>0</v>
      </c>
      <c r="M86" s="163"/>
      <c r="N86" s="122">
        <v>0</v>
      </c>
      <c r="O86" s="124">
        <f t="shared" si="15"/>
        <v>0</v>
      </c>
      <c r="P86" s="163"/>
      <c r="Q86" s="122">
        <f t="shared" si="16"/>
        <v>7000.0000000000009</v>
      </c>
      <c r="R86" s="124">
        <f t="shared" si="17"/>
        <v>0</v>
      </c>
      <c r="S86" s="208" t="s">
        <v>25</v>
      </c>
      <c r="T86" s="164">
        <v>100000</v>
      </c>
      <c r="U86" s="155">
        <v>0</v>
      </c>
      <c r="V86" s="165" t="s">
        <v>225</v>
      </c>
      <c r="W86" s="118">
        <f t="shared" si="19"/>
        <v>107000</v>
      </c>
      <c r="X86" s="159">
        <f t="shared" si="20"/>
        <v>0</v>
      </c>
    </row>
    <row r="87" spans="1:25" s="110" customFormat="1" ht="109.2">
      <c r="A87" s="229"/>
      <c r="B87" s="178" t="s">
        <v>223</v>
      </c>
      <c r="C87" s="162" t="s">
        <v>371</v>
      </c>
      <c r="D87" s="105" t="s">
        <v>87</v>
      </c>
      <c r="E87" s="122">
        <f>7750*2</f>
        <v>15500</v>
      </c>
      <c r="F87" s="155">
        <v>0</v>
      </c>
      <c r="G87" s="224" t="s">
        <v>273</v>
      </c>
      <c r="H87" s="122">
        <v>0</v>
      </c>
      <c r="I87" s="124">
        <f t="shared" si="13"/>
        <v>0</v>
      </c>
      <c r="J87" s="163"/>
      <c r="K87" s="122">
        <v>0</v>
      </c>
      <c r="L87" s="124">
        <f t="shared" si="14"/>
        <v>0</v>
      </c>
      <c r="M87" s="163"/>
      <c r="N87" s="122">
        <v>0</v>
      </c>
      <c r="O87" s="124">
        <f t="shared" si="15"/>
        <v>0</v>
      </c>
      <c r="P87" s="163"/>
      <c r="Q87" s="122">
        <f t="shared" si="16"/>
        <v>12742.3464</v>
      </c>
      <c r="R87" s="124">
        <f t="shared" si="17"/>
        <v>0</v>
      </c>
      <c r="S87" s="163" t="s">
        <v>227</v>
      </c>
      <c r="T87" s="164">
        <f>15000+151533.52</f>
        <v>166533.51999999999</v>
      </c>
      <c r="U87" s="155">
        <v>0</v>
      </c>
      <c r="V87" s="165" t="s">
        <v>228</v>
      </c>
      <c r="W87" s="118">
        <f t="shared" si="19"/>
        <v>194775.8664</v>
      </c>
      <c r="X87" s="159">
        <f t="shared" si="20"/>
        <v>0</v>
      </c>
      <c r="Y87" s="113"/>
    </row>
    <row r="88" spans="1:25" s="110" customFormat="1" ht="31.2">
      <c r="A88" s="229"/>
      <c r="B88" s="179" t="s">
        <v>226</v>
      </c>
      <c r="C88" s="180" t="s">
        <v>372</v>
      </c>
      <c r="D88" s="105" t="s">
        <v>229</v>
      </c>
      <c r="E88" s="122">
        <v>0</v>
      </c>
      <c r="F88" s="155">
        <v>0</v>
      </c>
      <c r="G88" s="163"/>
      <c r="H88" s="122">
        <v>0</v>
      </c>
      <c r="I88" s="124">
        <f t="shared" si="13"/>
        <v>0</v>
      </c>
      <c r="J88" s="163"/>
      <c r="K88" s="122">
        <v>0</v>
      </c>
      <c r="L88" s="124">
        <f t="shared" si="14"/>
        <v>0</v>
      </c>
      <c r="M88" s="163"/>
      <c r="N88" s="122">
        <v>0</v>
      </c>
      <c r="O88" s="124">
        <f t="shared" si="15"/>
        <v>0</v>
      </c>
      <c r="P88" s="163"/>
      <c r="Q88" s="122">
        <f t="shared" si="16"/>
        <v>7978.6</v>
      </c>
      <c r="R88" s="124">
        <f t="shared" si="17"/>
        <v>0</v>
      </c>
      <c r="S88" s="163" t="s">
        <v>25</v>
      </c>
      <c r="T88" s="164">
        <f>15000+98980</f>
        <v>113980</v>
      </c>
      <c r="U88" s="155">
        <v>0</v>
      </c>
      <c r="V88" s="165" t="s">
        <v>230</v>
      </c>
      <c r="W88" s="118">
        <f t="shared" si="19"/>
        <v>121958.6</v>
      </c>
      <c r="X88" s="159">
        <f t="shared" si="20"/>
        <v>0</v>
      </c>
      <c r="Y88" s="113"/>
    </row>
    <row r="89" spans="1:25">
      <c r="A89" s="231" t="s">
        <v>6</v>
      </c>
      <c r="B89" s="232"/>
      <c r="C89" s="232"/>
      <c r="D89" s="233"/>
      <c r="E89" s="30">
        <f>SUM(E3:E88)</f>
        <v>4291706</v>
      </c>
      <c r="F89" s="31">
        <f>SUM(F3:F88)</f>
        <v>0</v>
      </c>
      <c r="G89" s="32"/>
      <c r="H89" s="30">
        <f>SUM(H3:H88)</f>
        <v>21759361.969999999</v>
      </c>
      <c r="I89" s="31">
        <f>SUM(I3:I88)</f>
        <v>4787059.6333999997</v>
      </c>
      <c r="J89" s="32"/>
      <c r="K89" s="30">
        <f>SUM(K3:K88)</f>
        <v>62393</v>
      </c>
      <c r="L89" s="31">
        <f>SUM(L3:L88)</f>
        <v>13726.460000000001</v>
      </c>
      <c r="M89" s="33"/>
      <c r="N89" s="30">
        <f>SUM(N3:N88)</f>
        <v>206977</v>
      </c>
      <c r="O89" s="31">
        <f>SUM(O3:O88)</f>
        <v>45534.94</v>
      </c>
      <c r="P89" s="33"/>
      <c r="Q89" s="30">
        <f>SUM(Q3:Q88)</f>
        <v>1885056.5622999989</v>
      </c>
      <c r="R89" s="31">
        <f>SUM(R3:R88)</f>
        <v>339242.47233800008</v>
      </c>
      <c r="S89" s="33"/>
      <c r="T89" s="34">
        <f>SUM(T3:T88)</f>
        <v>608941.92000000004</v>
      </c>
      <c r="U89" s="31">
        <f>SUM(U3:U88)</f>
        <v>0</v>
      </c>
      <c r="V89" s="35"/>
      <c r="W89" s="143">
        <f t="shared" si="19"/>
        <v>28814436.452300001</v>
      </c>
      <c r="X89" s="37">
        <f t="shared" si="20"/>
        <v>5185563.5057380004</v>
      </c>
    </row>
    <row r="91" spans="1:25">
      <c r="X91" s="29">
        <f>W89+X89</f>
        <v>33999999.958038002</v>
      </c>
    </row>
    <row r="94" spans="1:25">
      <c r="E94" s="38" t="s">
        <v>6</v>
      </c>
    </row>
    <row r="95" spans="1:25">
      <c r="D95" s="110" t="s">
        <v>16</v>
      </c>
      <c r="E95" s="29">
        <f>W3+W4+W7+W9+W12+W16+W29+W41+W57+W59+W60+W71+W78+X3+X4+X7+X9+X12+X16+X29+X41+X57+X59+X60+X71+X78</f>
        <v>6258300.0747820009</v>
      </c>
      <c r="F95" t="s">
        <v>231</v>
      </c>
      <c r="H95" t="s">
        <v>232</v>
      </c>
      <c r="I95" s="29">
        <f>E95+E96+E97+E98+E100+E103+E104+E105</f>
        <v>20694154.272038002</v>
      </c>
      <c r="J95" s="1">
        <f>I95*100/(I95+I96)</f>
        <v>60.865159698759527</v>
      </c>
    </row>
    <row r="96" spans="1:25">
      <c r="D96" s="110" t="s">
        <v>44</v>
      </c>
      <c r="E96" s="29">
        <f>W13+W17+W30+W42+W61+W79+X13+X17+X30+X42+X61+X79</f>
        <v>725952.20000000007</v>
      </c>
      <c r="F96" t="s">
        <v>231</v>
      </c>
      <c r="H96" t="s">
        <v>233</v>
      </c>
      <c r="I96" s="29">
        <f>E99+E101+E102</f>
        <v>13305845.686000001</v>
      </c>
      <c r="J96" s="1">
        <f>I96*100/(I95+I96)</f>
        <v>39.13484030124048</v>
      </c>
    </row>
    <row r="97" spans="4:9">
      <c r="D97" s="110" t="s">
        <v>59</v>
      </c>
      <c r="E97" s="29">
        <f>W18+W31+W43+W62+W80+X18+X31+X43+X62+X80</f>
        <v>1360098.4</v>
      </c>
      <c r="F97" t="s">
        <v>231</v>
      </c>
    </row>
    <row r="98" spans="4:9">
      <c r="D98" s="110" t="s">
        <v>64</v>
      </c>
      <c r="E98" s="29">
        <f>W19+W27+W32+W44+W63+W72+W81+X19+X27+X32+X44+X63+X72+X81</f>
        <v>627953.04</v>
      </c>
      <c r="F98" t="s">
        <v>231</v>
      </c>
    </row>
    <row r="99" spans="4:9">
      <c r="D99" s="110" t="s">
        <v>29</v>
      </c>
      <c r="E99" s="29">
        <f>W8+W20+W33+W45+W64+W73+W82+X8+X20+X33+X45+X64+X73+X82</f>
        <v>5130872.3459999999</v>
      </c>
      <c r="F99" s="29" t="s">
        <v>231</v>
      </c>
      <c r="I99" s="29"/>
    </row>
    <row r="100" spans="4:9">
      <c r="D100" s="110" t="s">
        <v>72</v>
      </c>
      <c r="E100" s="29">
        <f>W21+W34+W46+W65+W83+X21+X34+X46+X65+X83</f>
        <v>273813</v>
      </c>
      <c r="F100" t="s">
        <v>231</v>
      </c>
    </row>
    <row r="101" spans="4:9">
      <c r="D101" s="110" t="s">
        <v>76</v>
      </c>
      <c r="E101" s="29">
        <f>W22+W35+W47+W66+W74+W84+X22+X35+X47+X66+X74+X84</f>
        <v>5436284.8000000007</v>
      </c>
      <c r="F101" t="s">
        <v>231</v>
      </c>
    </row>
    <row r="102" spans="4:9">
      <c r="D102" s="110" t="s">
        <v>80</v>
      </c>
      <c r="E102" s="92">
        <f>W23+W36+W40+W48+W67+W75+W85+X23+X36+X40+X48+X67+X75+X85</f>
        <v>2738688.5399999996</v>
      </c>
      <c r="F102" s="29" t="s">
        <v>231</v>
      </c>
      <c r="G102" s="39"/>
    </row>
    <row r="103" spans="4:9">
      <c r="D103" s="110" t="s">
        <v>20</v>
      </c>
      <c r="E103" s="29">
        <f>W5+W6+W10+W14+W15+W24+W37+W49+W52+W53+W54+W55+W56+W68+W86+X5+X6+X10+X14+X15+X24+X37+X49+X52+X53+X54+X55+X56+X68+X86</f>
        <v>5297374.1900000004</v>
      </c>
      <c r="F103" t="s">
        <v>231</v>
      </c>
    </row>
    <row r="104" spans="4:9">
      <c r="D104" s="110" t="s">
        <v>87</v>
      </c>
      <c r="E104" s="29">
        <f>W25+W38+W50+W58+W69+W76+W87+X25+X38+X50+X58+X69+X76+X87</f>
        <v>4847852.766400001</v>
      </c>
      <c r="F104" t="s">
        <v>231</v>
      </c>
    </row>
    <row r="105" spans="4:9">
      <c r="D105" s="110" t="s">
        <v>37</v>
      </c>
      <c r="E105" s="40">
        <f>W11+W26+W28+W39+W51+W70+W77+W88+X11+X26+X28+X39+X51+X70+X77+X88</f>
        <v>1302810.6008560001</v>
      </c>
      <c r="F105" t="s">
        <v>231</v>
      </c>
    </row>
    <row r="106" spans="4:9">
      <c r="E106" s="29">
        <f>SUM(E95:E105)</f>
        <v>33999999.958038002</v>
      </c>
      <c r="F106" s="29"/>
    </row>
  </sheetData>
  <mergeCells count="18">
    <mergeCell ref="Q1:S1"/>
    <mergeCell ref="T1:V1"/>
    <mergeCell ref="W1:X1"/>
    <mergeCell ref="B2:C2"/>
    <mergeCell ref="A3:A8"/>
    <mergeCell ref="A1:D1"/>
    <mergeCell ref="E1:G1"/>
    <mergeCell ref="H1:J1"/>
    <mergeCell ref="K1:M1"/>
    <mergeCell ref="N1:P1"/>
    <mergeCell ref="A58:A77"/>
    <mergeCell ref="A78:A88"/>
    <mergeCell ref="A89:D89"/>
    <mergeCell ref="A9:A13"/>
    <mergeCell ref="A14:A26"/>
    <mergeCell ref="A27:A39"/>
    <mergeCell ref="A40:A51"/>
    <mergeCell ref="A52:A57"/>
  </mergeCells>
  <hyperlinks>
    <hyperlink ref="D27" r:id="rId1" display="CNR-IFN@MI"/>
  </hyperlinks>
  <pageMargins left="0.7" right="0.7" top="0.75" bottom="0.75" header="0.3" footer="0.3"/>
  <pageSetup paperSize="9" firstPageNumber="214748364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workbookViewId="0">
      <pane xSplit="1" topLeftCell="J1" activePane="topRight" state="frozen"/>
      <selection activeCell="S25" sqref="S25"/>
      <selection pane="topRight" activeCell="K31" sqref="K31"/>
    </sheetView>
  </sheetViews>
  <sheetFormatPr defaultColWidth="11.19921875" defaultRowHeight="15.6"/>
  <cols>
    <col min="3" max="3" width="17" customWidth="1"/>
    <col min="4" max="4" width="16.796875" customWidth="1"/>
    <col min="5" max="6" width="17" customWidth="1"/>
    <col min="7" max="9" width="16.796875" customWidth="1"/>
    <col min="10" max="10" width="17" customWidth="1"/>
    <col min="11" max="11" width="17.19921875" customWidth="1"/>
    <col min="12" max="13" width="17" customWidth="1"/>
    <col min="14" max="14" width="16.796875" customWidth="1"/>
    <col min="15" max="16" width="17" customWidth="1"/>
    <col min="17" max="17" width="19.296875" customWidth="1"/>
    <col min="18" max="18" width="7" customWidth="1"/>
    <col min="20" max="20" width="17" customWidth="1"/>
    <col min="21" max="21" width="20.19921875" customWidth="1"/>
    <col min="22" max="22" width="11.69921875" bestFit="1" customWidth="1"/>
  </cols>
  <sheetData>
    <row r="1" spans="1:22" s="1" customFormat="1" ht="61.05" customHeight="1" thickBot="1">
      <c r="A1" s="243"/>
      <c r="B1" s="244"/>
      <c r="C1" s="234" t="s">
        <v>0</v>
      </c>
      <c r="D1" s="235"/>
      <c r="E1" s="234" t="s">
        <v>1</v>
      </c>
      <c r="F1" s="235"/>
      <c r="G1" s="234" t="s">
        <v>2</v>
      </c>
      <c r="H1" s="235"/>
      <c r="I1" s="234" t="s">
        <v>3</v>
      </c>
      <c r="J1" s="235"/>
      <c r="K1" s="234" t="s">
        <v>4</v>
      </c>
      <c r="L1" s="235"/>
      <c r="M1" s="237" t="s">
        <v>5</v>
      </c>
      <c r="N1" s="238"/>
      <c r="O1" s="249" t="s">
        <v>6</v>
      </c>
      <c r="P1" s="250"/>
      <c r="Q1" s="251"/>
      <c r="R1" s="41" t="s">
        <v>234</v>
      </c>
      <c r="T1" s="42"/>
      <c r="U1" s="189" t="s">
        <v>235</v>
      </c>
      <c r="V1" s="190"/>
    </row>
    <row r="2" spans="1:22" s="2" customFormat="1" ht="16.2" thickBot="1">
      <c r="A2" s="3" t="s">
        <v>7</v>
      </c>
      <c r="B2" s="4" t="s">
        <v>236</v>
      </c>
      <c r="C2" s="5" t="s">
        <v>10</v>
      </c>
      <c r="D2" s="6" t="s">
        <v>11</v>
      </c>
      <c r="E2" s="5" t="s">
        <v>10</v>
      </c>
      <c r="F2" s="6" t="s">
        <v>11</v>
      </c>
      <c r="G2" s="5" t="s">
        <v>10</v>
      </c>
      <c r="H2" s="6" t="s">
        <v>11</v>
      </c>
      <c r="I2" s="5" t="s">
        <v>10</v>
      </c>
      <c r="J2" s="6" t="s">
        <v>11</v>
      </c>
      <c r="K2" s="5" t="s">
        <v>10</v>
      </c>
      <c r="L2" s="6" t="s">
        <v>11</v>
      </c>
      <c r="M2" s="8" t="s">
        <v>10</v>
      </c>
      <c r="N2" s="9" t="s">
        <v>11</v>
      </c>
      <c r="O2" s="10" t="s">
        <v>10</v>
      </c>
      <c r="P2" s="11" t="s">
        <v>11</v>
      </c>
      <c r="Q2" s="43" t="s">
        <v>237</v>
      </c>
      <c r="R2" s="44"/>
      <c r="T2" s="207" t="s">
        <v>298</v>
      </c>
      <c r="U2" s="45">
        <f t="shared" ref="U2:U3" si="0">O4+P4+O7+P7+O10+P10+O13+P13+O16+P16+O19+P19+O22+P22+O25+P25</f>
        <v>20694154.272037998</v>
      </c>
      <c r="V2" s="191">
        <f>U2/U4</f>
        <v>0.6086515969875953</v>
      </c>
    </row>
    <row r="3" spans="1:22" ht="16.8" thickTop="1" thickBot="1">
      <c r="A3" s="246" t="s">
        <v>14</v>
      </c>
      <c r="B3" s="46" t="s">
        <v>6</v>
      </c>
      <c r="C3" s="47">
        <f>C4+C5</f>
        <v>466033</v>
      </c>
      <c r="D3" s="48">
        <f t="shared" ref="D3:P3" si="1">D4+D5</f>
        <v>0</v>
      </c>
      <c r="E3" s="47">
        <f t="shared" si="1"/>
        <v>0</v>
      </c>
      <c r="F3" s="48">
        <f t="shared" si="1"/>
        <v>0</v>
      </c>
      <c r="G3" s="47">
        <f t="shared" si="1"/>
        <v>0</v>
      </c>
      <c r="H3" s="48">
        <f t="shared" si="1"/>
        <v>0</v>
      </c>
      <c r="I3" s="47">
        <f t="shared" si="1"/>
        <v>0</v>
      </c>
      <c r="J3" s="48">
        <f t="shared" si="1"/>
        <v>0</v>
      </c>
      <c r="K3" s="47">
        <f t="shared" si="1"/>
        <v>32622.280000000002</v>
      </c>
      <c r="L3" s="48">
        <f t="shared" si="1"/>
        <v>0</v>
      </c>
      <c r="M3" s="49">
        <f t="shared" si="1"/>
        <v>0</v>
      </c>
      <c r="N3" s="50">
        <f t="shared" si="1"/>
        <v>0</v>
      </c>
      <c r="O3" s="51">
        <f t="shared" si="1"/>
        <v>498655.27999999997</v>
      </c>
      <c r="P3" s="52">
        <f t="shared" si="1"/>
        <v>0</v>
      </c>
      <c r="Q3" s="53">
        <f t="shared" ref="Q3:Q27" si="2">O3+P3</f>
        <v>498655.27999999997</v>
      </c>
      <c r="R3" s="54">
        <f>Q3/Q27*100</f>
        <v>1.4666331782806721</v>
      </c>
      <c r="T3" s="206" t="s">
        <v>297</v>
      </c>
      <c r="U3" s="55">
        <f t="shared" si="0"/>
        <v>13305845.685999999</v>
      </c>
      <c r="V3" s="188">
        <f>U3/U4</f>
        <v>0.39134840301240476</v>
      </c>
    </row>
    <row r="4" spans="1:22" ht="16.2" thickBot="1">
      <c r="A4" s="247"/>
      <c r="B4" s="16" t="s">
        <v>238</v>
      </c>
      <c r="C4" s="17">
        <f>Activities!E3+Activities!E4+Activities!E5+Activities!E6+Activities!E7</f>
        <v>390793</v>
      </c>
      <c r="D4" s="18">
        <f>Activities!F3+Activities!F4+Activities!F5+Activities!F6+Activities!F7</f>
        <v>0</v>
      </c>
      <c r="E4" s="17">
        <f>Activities!H3+Activities!H4+Activities!H5+Activities!H6+Activities!H7</f>
        <v>0</v>
      </c>
      <c r="F4" s="18">
        <f>Activities!I3+Activities!I4+Activities!I5+Activities!I6+Activities!I7</f>
        <v>0</v>
      </c>
      <c r="G4" s="17">
        <f>Activities!K3+Activities!K4+Activities!K5+Activities!K6+Activities!K7</f>
        <v>0</v>
      </c>
      <c r="H4" s="18">
        <f>Activities!L3+Activities!L4+Activities!L5+Activities!L6+Activities!L7</f>
        <v>0</v>
      </c>
      <c r="I4" s="17">
        <f>Activities!N3+Activities!N4+Activities!N5+Activities!N6+Activities!N7</f>
        <v>0</v>
      </c>
      <c r="J4" s="18">
        <f>Activities!O3+Activities!O4+Activities!O5+Activities!O6+Activities!O7</f>
        <v>0</v>
      </c>
      <c r="K4" s="17">
        <f>Activities!Q3+Activities!Q4+Activities!Q5+Activities!Q6+Activities!Q7</f>
        <v>27355.480000000003</v>
      </c>
      <c r="L4" s="18">
        <f>Activities!R3+Activities!R4+Activities!R5+Activities!R6+Activities!R7</f>
        <v>0</v>
      </c>
      <c r="M4" s="19">
        <f>Activities!T3+Activities!T4+Activities!T5+Activities!T6+Activities!T7</f>
        <v>0</v>
      </c>
      <c r="N4" s="56">
        <f>Activities!U3+Activities!U4+Activities!U5+Activities!U6+Activities!U7</f>
        <v>0</v>
      </c>
      <c r="O4" s="20">
        <f t="shared" ref="O4:O5" si="3">C4+E4+G4+I4+K4+M4</f>
        <v>418148.48</v>
      </c>
      <c r="P4" s="21">
        <f t="shared" ref="P4:P5" si="4">D4+F4+H4+J4+L4+N4</f>
        <v>0</v>
      </c>
      <c r="Q4" s="57">
        <f t="shared" si="2"/>
        <v>418148.48</v>
      </c>
      <c r="R4" s="58"/>
      <c r="T4" s="59" t="s">
        <v>6</v>
      </c>
      <c r="U4" s="60">
        <f>SUM(U2:U3)</f>
        <v>33999999.958037995</v>
      </c>
      <c r="V4" s="192">
        <f>SUM(V2:V3)</f>
        <v>1</v>
      </c>
    </row>
    <row r="5" spans="1:22" ht="16.2" thickBot="1">
      <c r="A5" s="252"/>
      <c r="B5" s="22" t="s">
        <v>239</v>
      </c>
      <c r="C5" s="23">
        <f>Activities!E8</f>
        <v>75240</v>
      </c>
      <c r="D5" s="24">
        <f>Activities!F8</f>
        <v>0</v>
      </c>
      <c r="E5" s="23">
        <f>Activities!H8</f>
        <v>0</v>
      </c>
      <c r="F5" s="24">
        <f>Activities!I8</f>
        <v>0</v>
      </c>
      <c r="G5" s="23">
        <f>Activities!K8</f>
        <v>0</v>
      </c>
      <c r="H5" s="24">
        <f>Activities!L8</f>
        <v>0</v>
      </c>
      <c r="I5" s="23">
        <f>Activities!N8</f>
        <v>0</v>
      </c>
      <c r="J5" s="24">
        <f>Activities!O8</f>
        <v>0</v>
      </c>
      <c r="K5" s="23">
        <f>Activities!Q8</f>
        <v>5266.8</v>
      </c>
      <c r="L5" s="24">
        <f>Activities!R8</f>
        <v>0</v>
      </c>
      <c r="M5" s="25">
        <f>Activities!T8</f>
        <v>0</v>
      </c>
      <c r="N5" s="61">
        <f>Activities!U8</f>
        <v>0</v>
      </c>
      <c r="O5" s="26">
        <f t="shared" si="3"/>
        <v>80506.8</v>
      </c>
      <c r="P5" s="27">
        <f t="shared" si="4"/>
        <v>0</v>
      </c>
      <c r="Q5" s="62">
        <f t="shared" si="2"/>
        <v>80506.8</v>
      </c>
      <c r="R5" s="63"/>
    </row>
    <row r="6" spans="1:22">
      <c r="A6" s="246" t="s">
        <v>31</v>
      </c>
      <c r="B6" s="46" t="s">
        <v>6</v>
      </c>
      <c r="C6" s="47">
        <f>C7+C8</f>
        <v>99297</v>
      </c>
      <c r="D6" s="48">
        <f>D7+D8</f>
        <v>0</v>
      </c>
      <c r="E6" s="47">
        <f t="shared" ref="E6:F6" si="5">E7+E8</f>
        <v>110000</v>
      </c>
      <c r="F6" s="48">
        <f t="shared" si="5"/>
        <v>24200</v>
      </c>
      <c r="G6" s="47">
        <f t="shared" ref="G6:P6" si="6">G7+G8</f>
        <v>0</v>
      </c>
      <c r="H6" s="48">
        <f t="shared" si="6"/>
        <v>0</v>
      </c>
      <c r="I6" s="47">
        <f t="shared" si="6"/>
        <v>0</v>
      </c>
      <c r="J6" s="48">
        <f t="shared" si="6"/>
        <v>0</v>
      </c>
      <c r="K6" s="47">
        <f t="shared" si="6"/>
        <v>14650.790000000003</v>
      </c>
      <c r="L6" s="48">
        <f t="shared" si="6"/>
        <v>1694.0000000000002</v>
      </c>
      <c r="M6" s="49">
        <f t="shared" si="6"/>
        <v>0</v>
      </c>
      <c r="N6" s="50">
        <f t="shared" si="6"/>
        <v>0</v>
      </c>
      <c r="O6" s="64">
        <f t="shared" si="6"/>
        <v>223947.79</v>
      </c>
      <c r="P6" s="65">
        <f t="shared" si="6"/>
        <v>25894</v>
      </c>
      <c r="Q6" s="66">
        <f t="shared" si="2"/>
        <v>249841.79</v>
      </c>
      <c r="R6" s="67">
        <f>Q6/Q27*100</f>
        <v>0.73482879502455545</v>
      </c>
    </row>
    <row r="7" spans="1:22" ht="18" customHeight="1">
      <c r="A7" s="247"/>
      <c r="B7" s="16" t="s">
        <v>238</v>
      </c>
      <c r="C7" s="17">
        <f>Activities!E9+Activities!E10+Activities!E11+Activities!E12+Activities!E13</f>
        <v>99297</v>
      </c>
      <c r="D7" s="18">
        <f>Activities!F9+Activities!F10+Activities!F11+Activities!F12+Activities!F13</f>
        <v>0</v>
      </c>
      <c r="E7" s="17">
        <f>Activities!H9+Activities!H10+Activities!H11+Activities!H12+Activities!H13</f>
        <v>110000</v>
      </c>
      <c r="F7" s="18">
        <f>Activities!I9+Activities!I10+Activities!I11+Activities!I12+Activities!I13</f>
        <v>24200</v>
      </c>
      <c r="G7" s="18">
        <f>Activities!K9+Activities!K10+Activities!K11+Activities!K12+Activities!K13</f>
        <v>0</v>
      </c>
      <c r="H7" s="18">
        <f>Activities!L9+Activities!L10+Activities!L11+Activities!L12+Activities!L13</f>
        <v>0</v>
      </c>
      <c r="I7" s="17">
        <f>Activities!N9+Activities!N10+Activities!N11+Activities!N12+Activities!N13</f>
        <v>0</v>
      </c>
      <c r="J7" s="18">
        <f>Activities!O9+Activities!O10+Activities!O11+Activities!O12+Activities!O13</f>
        <v>0</v>
      </c>
      <c r="K7" s="17">
        <f>Activities!Q9+Activities!Q10+Activities!Q11+Activities!Q12+Activities!Q13</f>
        <v>14650.790000000003</v>
      </c>
      <c r="L7" s="18">
        <f>Activities!R9+Activities!R10+Activities!R11+Activities!R12+Activities!R13</f>
        <v>1694.0000000000002</v>
      </c>
      <c r="M7" s="19">
        <f>Activities!T9+Activities!T10+Activities!T11+Activities!T12+Activities!T13</f>
        <v>0</v>
      </c>
      <c r="N7" s="56">
        <f>Activities!U9+Activities!U10+Activities!U11+Activities!U12+Activities!U13</f>
        <v>0</v>
      </c>
      <c r="O7" s="14">
        <f t="shared" ref="O7:O8" si="7">C7+E7+G7+I7+K7+M7</f>
        <v>223947.79</v>
      </c>
      <c r="P7" s="15">
        <f t="shared" ref="P7:P8" si="8">D7+F7+H7+J7+L7+N7</f>
        <v>25894</v>
      </c>
      <c r="Q7" s="57">
        <f t="shared" si="2"/>
        <v>249841.79</v>
      </c>
      <c r="R7" s="58"/>
    </row>
    <row r="8" spans="1:22">
      <c r="A8" s="248"/>
      <c r="B8" s="22" t="s">
        <v>239</v>
      </c>
      <c r="C8" s="23">
        <v>0</v>
      </c>
      <c r="D8" s="24">
        <v>0</v>
      </c>
      <c r="E8" s="23">
        <v>0</v>
      </c>
      <c r="F8" s="24">
        <v>0</v>
      </c>
      <c r="G8" s="23">
        <v>0</v>
      </c>
      <c r="H8" s="24">
        <f>0.22*G8</f>
        <v>0</v>
      </c>
      <c r="I8" s="23">
        <v>0</v>
      </c>
      <c r="J8" s="24">
        <v>0</v>
      </c>
      <c r="K8" s="23">
        <f>0.07*(C8+E8+G8+I8+M8)</f>
        <v>0</v>
      </c>
      <c r="L8" s="24">
        <f>0.07*(D8+F8+H8+J8+N8)</f>
        <v>0</v>
      </c>
      <c r="M8" s="25">
        <v>0</v>
      </c>
      <c r="N8" s="61">
        <f>0.22*M8</f>
        <v>0</v>
      </c>
      <c r="O8" s="26">
        <f t="shared" si="7"/>
        <v>0</v>
      </c>
      <c r="P8" s="27">
        <f t="shared" si="8"/>
        <v>0</v>
      </c>
      <c r="Q8" s="62">
        <f t="shared" si="2"/>
        <v>0</v>
      </c>
      <c r="R8" s="63"/>
    </row>
    <row r="9" spans="1:22" ht="18" customHeight="1">
      <c r="A9" s="246" t="s">
        <v>46</v>
      </c>
      <c r="B9" s="46" t="s">
        <v>6</v>
      </c>
      <c r="C9" s="47">
        <f t="shared" ref="C9:P9" si="9">C10+C11</f>
        <v>292632.67</v>
      </c>
      <c r="D9" s="48">
        <f t="shared" si="9"/>
        <v>0</v>
      </c>
      <c r="E9" s="47">
        <f t="shared" si="9"/>
        <v>2109000</v>
      </c>
      <c r="F9" s="48">
        <f t="shared" si="9"/>
        <v>463980</v>
      </c>
      <c r="G9" s="47">
        <f t="shared" si="9"/>
        <v>0</v>
      </c>
      <c r="H9" s="48">
        <f t="shared" si="9"/>
        <v>0</v>
      </c>
      <c r="I9" s="47">
        <f t="shared" si="9"/>
        <v>0</v>
      </c>
      <c r="J9" s="48">
        <f t="shared" si="9"/>
        <v>0</v>
      </c>
      <c r="K9" s="47">
        <f t="shared" si="9"/>
        <v>168114.28690000004</v>
      </c>
      <c r="L9" s="48">
        <f t="shared" si="9"/>
        <v>32478.600000000006</v>
      </c>
      <c r="M9" s="49">
        <f t="shared" si="9"/>
        <v>0</v>
      </c>
      <c r="N9" s="50">
        <f t="shared" si="9"/>
        <v>0</v>
      </c>
      <c r="O9" s="64">
        <f t="shared" si="9"/>
        <v>2569746.9568999996</v>
      </c>
      <c r="P9" s="65">
        <f t="shared" si="9"/>
        <v>496458.60000000003</v>
      </c>
      <c r="Q9" s="66">
        <f t="shared" si="2"/>
        <v>3066205.5568999997</v>
      </c>
      <c r="R9" s="67">
        <f>Q9/Q27*100</f>
        <v>9.0182516490712885</v>
      </c>
    </row>
    <row r="10" spans="1:22">
      <c r="A10" s="247"/>
      <c r="B10" s="16" t="s">
        <v>238</v>
      </c>
      <c r="C10" s="17">
        <f>Activities!E14+Activities!E15+Activities!E16+Activities!E17+Activities!E18+Activities!E19+Activities!E21+Activities!E24+Activities!E25+Activities!E26</f>
        <v>193326</v>
      </c>
      <c r="D10" s="18">
        <f>Activities!F14+Activities!F15+Activities!F16+Activities!F17+Activities!F18+Activities!F19+Activities!F21+Activities!F24+Activities!F25+Activities!F26</f>
        <v>0</v>
      </c>
      <c r="E10" s="17">
        <f>Activities!H14+Activities!H15+Activities!H16+Activities!H17+Activities!H18+Activities!H19+Activities!H21+Activities!H24+Activities!H25+Activities!H26</f>
        <v>2096000</v>
      </c>
      <c r="F10" s="18">
        <f>Activities!I14+Activities!I15+Activities!I16+Activities!I17+Activities!I18+Activities!I19+Activities!I21+Activities!I24+Activities!I25+Activities!I26</f>
        <v>461120</v>
      </c>
      <c r="G10" s="17">
        <f>Activities!K14+Activities!K15+Activities!K16+Activities!K17+Activities!K18+Activities!K19+Activities!K21+Activities!K24+Activities!K25+Activities!K26</f>
        <v>0</v>
      </c>
      <c r="H10" s="18">
        <f>Activities!L14+Activities!L15+Activities!L16+Activities!L17+Activities!L18+Activities!L19+Activities!L21+Activities!L24+Activities!L25+Activities!L26</f>
        <v>0</v>
      </c>
      <c r="I10" s="17">
        <f>Activities!N14+Activities!N15+Activities!N16+Activities!N17+Activities!N18+Activities!N19+Activities!N21+Activities!N24+Activities!N25+Activities!N26</f>
        <v>0</v>
      </c>
      <c r="J10" s="18">
        <f>Activities!O14+Activities!O15+Activities!O16+Activities!O17+Activities!O18+Activities!O19+Activities!O21+Activities!O24+Activities!O25+Activities!O26</f>
        <v>0</v>
      </c>
      <c r="K10" s="17">
        <f>Activities!Q14+Activities!Q15+Activities!Q16+Activities!Q17+Activities!Q18+Activities!Q19+Activities!Q21+Activities!Q24+Activities!Q25+Activities!Q26</f>
        <v>160252.82000000004</v>
      </c>
      <c r="L10" s="18">
        <f>Activities!R14+Activities!R15+Activities!R16+Activities!R17+Activities!R18+Activities!R19+Activities!R21+Activities!R24+Activities!R25+Activities!R26</f>
        <v>32278.400000000005</v>
      </c>
      <c r="M10" s="19">
        <f>Activities!T14+Activities!T15+Activities!T16+Activities!T17+Activities!T18+Activities!T19+Activities!T21+Activities!T24+Activities!T25+Activities!T26</f>
        <v>0</v>
      </c>
      <c r="N10" s="56">
        <f>Activities!U14+Activities!U15+Activities!U16+Activities!U17+Activities!U18+Activities!U19+Activities!U21+Activities!U24+Activities!U25+Activities!U26</f>
        <v>0</v>
      </c>
      <c r="O10" s="20">
        <f t="shared" ref="O10:O11" si="10">C10+E10+G10+I10+K10+M10</f>
        <v>2449578.8199999998</v>
      </c>
      <c r="P10" s="21">
        <f t="shared" ref="P10:P11" si="11">D10+F10+H10+J10+L10+N10</f>
        <v>493398.4</v>
      </c>
      <c r="Q10" s="57">
        <f t="shared" si="2"/>
        <v>2942977.2199999997</v>
      </c>
      <c r="R10" s="58"/>
    </row>
    <row r="11" spans="1:22">
      <c r="A11" s="248"/>
      <c r="B11" s="22" t="s">
        <v>239</v>
      </c>
      <c r="C11" s="23">
        <f>Activities!E20+Activities!E22+Activities!E23</f>
        <v>99306.67</v>
      </c>
      <c r="D11" s="24">
        <f>Activities!F20+Activities!F22+Activities!F23</f>
        <v>0</v>
      </c>
      <c r="E11" s="23">
        <f>Activities!H23</f>
        <v>13000</v>
      </c>
      <c r="F11" s="24">
        <f>Activities!I20+Activities!I22+Activities!I23</f>
        <v>2860</v>
      </c>
      <c r="G11" s="23">
        <f>Activities!K20+Activities!K22+Activities!K23</f>
        <v>0</v>
      </c>
      <c r="H11" s="24">
        <f>Activities!L20+Activities!L22+Activities!L23</f>
        <v>0</v>
      </c>
      <c r="I11" s="23">
        <f>Activities!N20+Activities!N22+Activities!N23</f>
        <v>0</v>
      </c>
      <c r="J11" s="24">
        <f>Activities!O20+Activities!O22+Activities!O23</f>
        <v>0</v>
      </c>
      <c r="K11" s="23">
        <f>Activities!Q20+Activities!Q22+Activities!Q23</f>
        <v>7861.4669000000004</v>
      </c>
      <c r="L11" s="24">
        <f>Activities!R20+Activities!R22+Activities!R23</f>
        <v>200.20000000000002</v>
      </c>
      <c r="M11" s="25">
        <f>Activities!T20+Activities!T22+Activities!T23</f>
        <v>0</v>
      </c>
      <c r="N11" s="61">
        <f>Activities!U20+Activities!U22+Activities!U23</f>
        <v>0</v>
      </c>
      <c r="O11" s="26">
        <f t="shared" si="10"/>
        <v>120168.1369</v>
      </c>
      <c r="P11" s="27">
        <f t="shared" si="11"/>
        <v>3060.2</v>
      </c>
      <c r="Q11" s="62">
        <f t="shared" si="2"/>
        <v>123228.33689999999</v>
      </c>
      <c r="R11" s="63"/>
    </row>
    <row r="12" spans="1:22" ht="16.05" customHeight="1">
      <c r="A12" s="246" t="s">
        <v>93</v>
      </c>
      <c r="B12" s="46" t="s">
        <v>6</v>
      </c>
      <c r="C12" s="47">
        <f t="shared" ref="C12:P12" si="12">C13+C14</f>
        <v>1221754</v>
      </c>
      <c r="D12" s="48">
        <f t="shared" si="12"/>
        <v>0</v>
      </c>
      <c r="E12" s="47">
        <f t="shared" si="12"/>
        <v>19293361.969999999</v>
      </c>
      <c r="F12" s="48">
        <f t="shared" si="12"/>
        <v>4244539.6333999997</v>
      </c>
      <c r="G12" s="47">
        <f t="shared" si="12"/>
        <v>56393</v>
      </c>
      <c r="H12" s="48">
        <f t="shared" si="12"/>
        <v>12406.460000000001</v>
      </c>
      <c r="I12" s="47">
        <f t="shared" si="12"/>
        <v>206977</v>
      </c>
      <c r="J12" s="48">
        <f t="shared" si="12"/>
        <v>45534.94</v>
      </c>
      <c r="K12" s="47">
        <f t="shared" si="12"/>
        <v>1454494.0179000001</v>
      </c>
      <c r="L12" s="48">
        <f t="shared" si="12"/>
        <v>301173.67233800003</v>
      </c>
      <c r="M12" s="49">
        <f t="shared" si="12"/>
        <v>0</v>
      </c>
      <c r="N12" s="50">
        <f t="shared" si="12"/>
        <v>0</v>
      </c>
      <c r="O12" s="64">
        <f t="shared" si="12"/>
        <v>22232979.9879</v>
      </c>
      <c r="P12" s="65">
        <f t="shared" si="12"/>
        <v>4603654.7057379996</v>
      </c>
      <c r="Q12" s="66">
        <f t="shared" si="2"/>
        <v>26836634.693638001</v>
      </c>
      <c r="R12" s="67">
        <f>Q12/Q27*100</f>
        <v>78.931278608115122</v>
      </c>
      <c r="T12" s="29"/>
    </row>
    <row r="13" spans="1:22">
      <c r="A13" s="247"/>
      <c r="B13" s="16" t="s">
        <v>238</v>
      </c>
      <c r="C13" s="17">
        <f>Activities!E27+Activities!E28+Activities!E29+Activities!E30+Activities!E31+Activities!E32+Activities!E34+Activities!E37+Activities!E38+Activities!E39</f>
        <v>874814</v>
      </c>
      <c r="D13" s="18">
        <f>Activities!F27+Activities!F28+Activities!F29+Activities!F30+Activities!F31+Activities!F32+Activities!F34+Activities!F37+Activities!F38+Activities!F39</f>
        <v>0</v>
      </c>
      <c r="E13" s="17">
        <f>Activities!H27+Activities!H28+Activities!H29+Activities!H30+Activities!H31+Activities!H32+Activities!H34+Activities!H37+Activities!H38+Activities!H39</f>
        <v>10718361.970000001</v>
      </c>
      <c r="F13" s="18">
        <f>Activities!I27+Activities!I28+Activities!I29+Activities!I30+Activities!I31+Activities!I32+Activities!I34+Activities!I37+Activities!I38+Activities!I39</f>
        <v>2358039.6333999997</v>
      </c>
      <c r="G13" s="17">
        <f>Activities!K27+Activities!K28+Activities!K29+Activities!K30+Activities!K31+Activities!K32+Activities!K34+Activities!K37+Activities!K38+Activities!K39</f>
        <v>0</v>
      </c>
      <c r="H13" s="18">
        <f>Activities!L27+Activities!L28+Activities!L29+Activities!L30+Activities!L31+Activities!L32+Activities!L34+Activities!L37+Activities!L38+Activities!L39</f>
        <v>0</v>
      </c>
      <c r="I13" s="17">
        <f>Activities!N27+Activities!N28+Activities!N29+Activities!N30+Activities!N31+Activities!N32+Activities!N34+Activities!N37+Activities!N38+Activities!N39</f>
        <v>100000</v>
      </c>
      <c r="J13" s="18">
        <f>Activities!O27+Activities!O28+Activities!O29+Activities!O30+Activities!O31+Activities!O32+Activities!O34+Activities!O37+Activities!O38+Activities!O39</f>
        <v>22000</v>
      </c>
      <c r="K13" s="17">
        <f>Activities!Q27+Activities!Q28+Activities!Q29+Activities!Q30+Activities!Q31+Activities!Q32+Activities!Q34+Activities!Q37+Activities!Q38+Activities!Q39</f>
        <v>818522.31790000002</v>
      </c>
      <c r="L13" s="18">
        <f>Activities!R27+Activities!R28+Activities!R29+Activities!R30+Activities!R31+Activities!R32+Activities!R34+Activities!R37+Activities!R38+Activities!R39</f>
        <v>166602.77433800005</v>
      </c>
      <c r="M13" s="19">
        <f>Activities!T27+Activities!T28+Activities!T29+Activities!T30+Activities!T31+Activities!T32+Activities!T34+Activities!T37+Activities!T38+Activities!T39</f>
        <v>0</v>
      </c>
      <c r="N13" s="56">
        <f>Activities!U27+Activities!U28+Activities!U29+Activities!U30+Activities!U31+Activities!U32+Activities!U34+Activities!U37+Activities!U38+Activities!U39</f>
        <v>0</v>
      </c>
      <c r="O13" s="20">
        <f t="shared" ref="O13:O14" si="13">C13+E13+G13+I13+K13+M13</f>
        <v>12511698.287900001</v>
      </c>
      <c r="P13" s="21">
        <f t="shared" ref="P13:P14" si="14">D13+F13+H13+J13+L13+N13</f>
        <v>2546642.4077379997</v>
      </c>
      <c r="Q13" s="57">
        <f t="shared" si="2"/>
        <v>15058340.695638001</v>
      </c>
      <c r="R13" s="58"/>
    </row>
    <row r="14" spans="1:22">
      <c r="A14" s="248"/>
      <c r="B14" s="22" t="s">
        <v>239</v>
      </c>
      <c r="C14" s="23">
        <f>Activities!E33+Activities!E35+Activities!E36</f>
        <v>346940</v>
      </c>
      <c r="D14" s="24">
        <f>Activities!F33+Activities!F35+Activities!F36</f>
        <v>0</v>
      </c>
      <c r="E14" s="23">
        <f>Activities!H33+Activities!H35+Activities!H36</f>
        <v>8575000</v>
      </c>
      <c r="F14" s="24">
        <f>Activities!I33+Activities!I35+Activities!I36</f>
        <v>1886500</v>
      </c>
      <c r="G14" s="23">
        <f>Activities!K33+Activities!K35+Activities!K36</f>
        <v>56393</v>
      </c>
      <c r="H14" s="24">
        <f>Activities!L33+Activities!L35+Activities!L36</f>
        <v>12406.460000000001</v>
      </c>
      <c r="I14" s="23">
        <f>Activities!N33+Activities!N35+Activities!N36</f>
        <v>106977</v>
      </c>
      <c r="J14" s="24">
        <f>Activities!O33+Activities!O35+Activities!O36</f>
        <v>23534.940000000002</v>
      </c>
      <c r="K14" s="23">
        <f>Activities!Q33+Activities!Q35+Activities!Q36</f>
        <v>635971.70000000007</v>
      </c>
      <c r="L14" s="24">
        <f>Activities!R33+Activities!R35+Activities!R36</f>
        <v>134570.89800000002</v>
      </c>
      <c r="M14" s="25">
        <f>Activities!T33+Activities!T35+Activities!T36</f>
        <v>0</v>
      </c>
      <c r="N14" s="61">
        <f>Activities!U33+Activities!U35+Activities!U36</f>
        <v>0</v>
      </c>
      <c r="O14" s="26">
        <f t="shared" si="13"/>
        <v>9721281.6999999993</v>
      </c>
      <c r="P14" s="27">
        <f t="shared" si="14"/>
        <v>2057012.298</v>
      </c>
      <c r="Q14" s="62">
        <f t="shared" si="2"/>
        <v>11778293.998</v>
      </c>
      <c r="R14" s="63"/>
    </row>
    <row r="15" spans="1:22">
      <c r="A15" s="246" t="s">
        <v>120</v>
      </c>
      <c r="B15" s="46" t="s">
        <v>6</v>
      </c>
      <c r="C15" s="47">
        <f t="shared" ref="C15:P15" si="15">C16+C17</f>
        <v>246421.33000000002</v>
      </c>
      <c r="D15" s="48">
        <f t="shared" si="15"/>
        <v>0</v>
      </c>
      <c r="E15" s="47">
        <f t="shared" si="15"/>
        <v>3500</v>
      </c>
      <c r="F15" s="48">
        <f t="shared" si="15"/>
        <v>770</v>
      </c>
      <c r="G15" s="47">
        <f t="shared" si="15"/>
        <v>0</v>
      </c>
      <c r="H15" s="48">
        <f t="shared" si="15"/>
        <v>0</v>
      </c>
      <c r="I15" s="47">
        <f t="shared" si="15"/>
        <v>0</v>
      </c>
      <c r="J15" s="48">
        <f t="shared" si="15"/>
        <v>0</v>
      </c>
      <c r="K15" s="47">
        <f t="shared" si="15"/>
        <v>17494.4931</v>
      </c>
      <c r="L15" s="48">
        <f t="shared" si="15"/>
        <v>53.900000000000006</v>
      </c>
      <c r="M15" s="49">
        <f t="shared" si="15"/>
        <v>0</v>
      </c>
      <c r="N15" s="50">
        <f t="shared" si="15"/>
        <v>0</v>
      </c>
      <c r="O15" s="51">
        <f t="shared" si="15"/>
        <v>267415.82309999998</v>
      </c>
      <c r="P15" s="52">
        <f t="shared" si="15"/>
        <v>823.9</v>
      </c>
      <c r="Q15" s="66">
        <f t="shared" si="2"/>
        <v>268239.7231</v>
      </c>
      <c r="R15" s="67">
        <f>Q15/Q27*100</f>
        <v>0.78894036303251514</v>
      </c>
    </row>
    <row r="16" spans="1:22">
      <c r="A16" s="247"/>
      <c r="B16" s="16" t="s">
        <v>238</v>
      </c>
      <c r="C16" s="17">
        <f>Activities!E41+Activities!E42+Activities!E43+Activities!E44+Activities!E46+Activities!E49+Activities!E50+Activities!E51</f>
        <v>163328</v>
      </c>
      <c r="D16" s="18">
        <f>Activities!F41+Activities!F42+Activities!F43+Activities!F44+Activities!F46+Activities!F49+Activities!F50+Activities!F51</f>
        <v>0</v>
      </c>
      <c r="E16" s="17">
        <f>Activities!H41+Activities!H42+Activities!H43+Activities!H44+Activities!H46+Activities!H49+Activities!H50+Activities!H51</f>
        <v>0</v>
      </c>
      <c r="F16" s="18">
        <f>Activities!I41+Activities!I42+Activities!I43+Activities!I44+Activities!I46+Activities!I49+Activities!I50+Activities!I51</f>
        <v>0</v>
      </c>
      <c r="G16" s="17">
        <f>Activities!K41+Activities!K42+Activities!K43+Activities!K44+Activities!K46+Activities!K49+Activities!K50+Activities!K51</f>
        <v>0</v>
      </c>
      <c r="H16" s="18">
        <f>Activities!L41+Activities!L42+Activities!L43+Activities!L44+Activities!L46+Activities!L49+Activities!L50+Activities!L51</f>
        <v>0</v>
      </c>
      <c r="I16" s="17">
        <f>Activities!N41+Activities!N42+Activities!N43+Activities!N44+Activities!N46+Activities!N49+Activities!N50+Activities!N51</f>
        <v>0</v>
      </c>
      <c r="J16" s="18">
        <f>Activities!O41+Activities!O42+Activities!O43+Activities!O44+Activities!O46+Activities!O49+Activities!O50+Activities!O51</f>
        <v>0</v>
      </c>
      <c r="K16" s="17">
        <f>Activities!Q41+Activities!Q42+Activities!Q43+Activities!Q44+Activities!Q46+Activities!Q49+Activities!Q50+Activities!Q51</f>
        <v>11432.96</v>
      </c>
      <c r="L16" s="18">
        <f>Activities!R41+Activities!R42+Activities!R43+Activities!R44+Activities!R46+Activities!R49+Activities!R50+Activities!R51</f>
        <v>0</v>
      </c>
      <c r="M16" s="19">
        <f>Activities!T41+Activities!T42+Activities!T43+Activities!T44+Activities!T46+Activities!T49+Activities!T50+Activities!T51</f>
        <v>0</v>
      </c>
      <c r="N16" s="56">
        <f>Activities!U41+Activities!U42+Activities!U43+Activities!U44+Activities!U46+Activities!U49+Activities!U50+Activities!U51</f>
        <v>0</v>
      </c>
      <c r="O16" s="20">
        <f t="shared" ref="O16:O17" si="16">C16+E16+G16+I16+K16+M16</f>
        <v>174760.95999999999</v>
      </c>
      <c r="P16" s="21">
        <f t="shared" ref="P16:P17" si="17">D16+F16+H16+J16+L16+N16</f>
        <v>0</v>
      </c>
      <c r="Q16" s="57">
        <f t="shared" si="2"/>
        <v>174760.95999999999</v>
      </c>
      <c r="R16" s="58"/>
    </row>
    <row r="17" spans="1:18">
      <c r="A17" s="248"/>
      <c r="B17" s="22" t="s">
        <v>239</v>
      </c>
      <c r="C17" s="23">
        <f>Activities!E40+Activities!E45+Activities!E47+Activities!E48</f>
        <v>83093.33</v>
      </c>
      <c r="D17" s="24">
        <f>Activities!F40+Activities!F45+Activities!F47+Activities!F48</f>
        <v>0</v>
      </c>
      <c r="E17" s="23">
        <f>Activities!H40+Activities!H45+Activities!H47+Activities!H48</f>
        <v>3500</v>
      </c>
      <c r="F17" s="24">
        <f>Activities!I40+Activities!I45+Activities!I47+Activities!I48</f>
        <v>770</v>
      </c>
      <c r="G17" s="23">
        <f>Activities!K40+Activities!K45+Activities!K47+Activities!K48</f>
        <v>0</v>
      </c>
      <c r="H17" s="24">
        <f>Activities!L40+Activities!L45+Activities!L47+Activities!L48</f>
        <v>0</v>
      </c>
      <c r="I17" s="23">
        <f>Activities!N40+Activities!N45+Activities!N47+Activities!N48</f>
        <v>0</v>
      </c>
      <c r="J17" s="24">
        <f>Activities!O40+Activities!O45+Activities!O47+Activities!O48</f>
        <v>0</v>
      </c>
      <c r="K17" s="23">
        <f>Activities!Q40+Activities!Q45+Activities!Q47+Activities!Q48</f>
        <v>6061.5331000000006</v>
      </c>
      <c r="L17" s="24">
        <f>Activities!R40+Activities!R45+Activities!R47+Activities!R48</f>
        <v>53.900000000000006</v>
      </c>
      <c r="M17" s="25">
        <f>Activities!T40+Activities!T45+Activities!T47+Activities!T48</f>
        <v>0</v>
      </c>
      <c r="N17" s="61">
        <f>Activities!U40+Activities!U45+Activities!U47+Activities!U48</f>
        <v>0</v>
      </c>
      <c r="O17" s="26">
        <f t="shared" si="16"/>
        <v>92654.863100000002</v>
      </c>
      <c r="P17" s="27">
        <f t="shared" si="17"/>
        <v>823.9</v>
      </c>
      <c r="Q17" s="62">
        <f t="shared" si="2"/>
        <v>93478.763099999996</v>
      </c>
      <c r="R17" s="63"/>
    </row>
    <row r="18" spans="1:18" ht="19.05" customHeight="1">
      <c r="A18" s="246" t="s">
        <v>145</v>
      </c>
      <c r="B18" s="46" t="s">
        <v>6</v>
      </c>
      <c r="C18" s="47">
        <f t="shared" ref="C18:P18" si="18">C19+C20</f>
        <v>253572</v>
      </c>
      <c r="D18" s="48">
        <f t="shared" si="18"/>
        <v>0</v>
      </c>
      <c r="E18" s="47">
        <f t="shared" si="18"/>
        <v>0</v>
      </c>
      <c r="F18" s="48">
        <f t="shared" si="18"/>
        <v>0</v>
      </c>
      <c r="G18" s="47">
        <f t="shared" si="18"/>
        <v>0</v>
      </c>
      <c r="H18" s="48">
        <f t="shared" si="18"/>
        <v>0</v>
      </c>
      <c r="I18" s="47">
        <f t="shared" si="18"/>
        <v>0</v>
      </c>
      <c r="J18" s="48">
        <f t="shared" si="18"/>
        <v>0</v>
      </c>
      <c r="K18" s="47">
        <f t="shared" si="18"/>
        <v>17750.04</v>
      </c>
      <c r="L18" s="48">
        <f t="shared" si="18"/>
        <v>0</v>
      </c>
      <c r="M18" s="49">
        <f t="shared" si="18"/>
        <v>0</v>
      </c>
      <c r="N18" s="50">
        <f t="shared" si="18"/>
        <v>0</v>
      </c>
      <c r="O18" s="51">
        <f t="shared" si="18"/>
        <v>271322.03999999998</v>
      </c>
      <c r="P18" s="52">
        <f t="shared" si="18"/>
        <v>0</v>
      </c>
      <c r="Q18" s="66">
        <f t="shared" si="2"/>
        <v>271322.03999999998</v>
      </c>
      <c r="R18" s="67">
        <f>Q18/Q27*100</f>
        <v>0.79800600098488017</v>
      </c>
    </row>
    <row r="19" spans="1:18">
      <c r="A19" s="247"/>
      <c r="B19" s="16" t="s">
        <v>238</v>
      </c>
      <c r="C19" s="17">
        <f>Activities!E52+Activities!E53+Activities!E54+Activities!E55+Activities!E56+Activities!E57</f>
        <v>253572</v>
      </c>
      <c r="D19" s="18">
        <f>Activities!F52+Activities!F53+Activities!F54+Activities!F55+Activities!F56+Activities!F57</f>
        <v>0</v>
      </c>
      <c r="E19" s="17">
        <f>Activities!H52+Activities!H53+Activities!H54+Activities!H55+Activities!H56+Activities!H57</f>
        <v>0</v>
      </c>
      <c r="F19" s="18">
        <f>Activities!I52+Activities!I53+Activities!I54+Activities!I55+Activities!I56+Activities!I57</f>
        <v>0</v>
      </c>
      <c r="G19" s="17">
        <f>Activities!K52+Activities!K53+Activities!K54+Activities!K55+Activities!K56+Activities!K57</f>
        <v>0</v>
      </c>
      <c r="H19" s="18">
        <f>Activities!L52+Activities!L53+Activities!L54+Activities!L55+Activities!L56+Activities!L57</f>
        <v>0</v>
      </c>
      <c r="I19" s="17">
        <f>Activities!N52+Activities!N53+Activities!N54+Activities!N55+Activities!N56+Activities!N57</f>
        <v>0</v>
      </c>
      <c r="J19" s="18">
        <f>Activities!O52+Activities!O53+Activities!O54+Activities!O55+Activities!O56+Activities!O57</f>
        <v>0</v>
      </c>
      <c r="K19" s="17">
        <f>Activities!Q52+Activities!Q53+Activities!Q54+Activities!Q55+Activities!Q56+Activities!Q57</f>
        <v>17750.04</v>
      </c>
      <c r="L19" s="18">
        <f>Activities!R52+Activities!R53+Activities!R54+Activities!R55+Activities!R56+Activities!R57</f>
        <v>0</v>
      </c>
      <c r="M19" s="19">
        <f>Activities!T52+Activities!T53+Activities!T54+Activities!T55+Activities!T56+Activities!T57</f>
        <v>0</v>
      </c>
      <c r="N19" s="19">
        <f>Activities!U52+Activities!U53+Activities!U54+Activities!U55+Activities!U56+Activities!U57</f>
        <v>0</v>
      </c>
      <c r="O19" s="20">
        <f t="shared" ref="O19:O20" si="19">C19+E19+G19+I19+K19+M19</f>
        <v>271322.03999999998</v>
      </c>
      <c r="P19" s="21">
        <f t="shared" ref="P19:P20" si="20">D19+F19+H19+J19+L19+N19</f>
        <v>0</v>
      </c>
      <c r="Q19" s="57">
        <f t="shared" si="2"/>
        <v>271322.03999999998</v>
      </c>
      <c r="R19" s="58"/>
    </row>
    <row r="20" spans="1:18" ht="18" customHeight="1">
      <c r="A20" s="248"/>
      <c r="B20" s="22" t="s">
        <v>239</v>
      </c>
      <c r="C20" s="23">
        <v>0</v>
      </c>
      <c r="D20" s="24">
        <v>0</v>
      </c>
      <c r="E20" s="23">
        <v>0</v>
      </c>
      <c r="F20" s="24">
        <f>0.22*E20</f>
        <v>0</v>
      </c>
      <c r="G20" s="23">
        <v>0</v>
      </c>
      <c r="H20" s="24">
        <f>0.22*G20</f>
        <v>0</v>
      </c>
      <c r="I20" s="23">
        <v>0</v>
      </c>
      <c r="J20" s="24">
        <f>0.22*I20</f>
        <v>0</v>
      </c>
      <c r="K20" s="23">
        <f>0.07*(C20+E20+G20+I20+M20)</f>
        <v>0</v>
      </c>
      <c r="L20" s="24">
        <f>0.07*(D20+F20+H20+J20+N20)</f>
        <v>0</v>
      </c>
      <c r="M20" s="25">
        <v>0</v>
      </c>
      <c r="N20" s="61">
        <f>0.22*M20</f>
        <v>0</v>
      </c>
      <c r="O20" s="26">
        <f t="shared" si="19"/>
        <v>0</v>
      </c>
      <c r="P20" s="27">
        <f t="shared" si="20"/>
        <v>0</v>
      </c>
      <c r="Q20" s="62">
        <f t="shared" si="2"/>
        <v>0</v>
      </c>
      <c r="R20" s="63"/>
    </row>
    <row r="21" spans="1:18" ht="16.95" customHeight="1">
      <c r="A21" s="246" t="s">
        <v>157</v>
      </c>
      <c r="B21" s="46" t="s">
        <v>6</v>
      </c>
      <c r="C21" s="47">
        <f t="shared" ref="C21:P21" si="21">C22+C23</f>
        <v>1640066</v>
      </c>
      <c r="D21" s="48">
        <f t="shared" si="21"/>
        <v>0</v>
      </c>
      <c r="E21" s="47">
        <f t="shared" si="21"/>
        <v>243500</v>
      </c>
      <c r="F21" s="48">
        <f t="shared" si="21"/>
        <v>53570</v>
      </c>
      <c r="G21" s="47">
        <f t="shared" si="21"/>
        <v>6000</v>
      </c>
      <c r="H21" s="48">
        <f t="shared" si="21"/>
        <v>1320</v>
      </c>
      <c r="I21" s="47">
        <f t="shared" si="21"/>
        <v>0</v>
      </c>
      <c r="J21" s="48">
        <f t="shared" si="21"/>
        <v>0</v>
      </c>
      <c r="K21" s="47">
        <f t="shared" si="21"/>
        <v>132269.62</v>
      </c>
      <c r="L21" s="48">
        <f t="shared" si="21"/>
        <v>3842.3000000000006</v>
      </c>
      <c r="M21" s="49">
        <f t="shared" si="21"/>
        <v>0</v>
      </c>
      <c r="N21" s="50">
        <f t="shared" si="21"/>
        <v>0</v>
      </c>
      <c r="O21" s="51">
        <f t="shared" si="21"/>
        <v>2021835.62</v>
      </c>
      <c r="P21" s="52">
        <f t="shared" si="21"/>
        <v>58732.3</v>
      </c>
      <c r="Q21" s="66">
        <f t="shared" si="2"/>
        <v>2080567.9200000002</v>
      </c>
      <c r="R21" s="67">
        <f>Q21/Q27*100</f>
        <v>6.1193174193170234</v>
      </c>
    </row>
    <row r="22" spans="1:18">
      <c r="A22" s="247"/>
      <c r="B22" s="16" t="s">
        <v>238</v>
      </c>
      <c r="C22" s="17">
        <f>Activities!E58+Activities!E59+Activities!E60+Activities!E61+Activities!E62+Activities!E63+Activities!E65+Activities!E68+Activities!E69+Activities!E70+Activities!E71+Activities!E72+Activities!E76+Activities!E77</f>
        <v>822686</v>
      </c>
      <c r="D22" s="18">
        <f>Activities!F58+Activities!F59+Activities!F60+Activities!F61+Activities!F62+Activities!F63+Activities!F65+Activities!F68+Activities!F69+Activities!F70+Activities!F71+Activities!F72+Activities!F76+Activities!F77</f>
        <v>0</v>
      </c>
      <c r="E22" s="17">
        <f>Activities!H58+Activities!H59+Activities!H60+Activities!H61+Activities!H62+Activities!H63+Activities!H65+Activities!H68+Activities!H69+Activities!H70+Activities!H71+Activities!H72+Activities!H76+Activities!H77</f>
        <v>103500</v>
      </c>
      <c r="F22" s="18">
        <f>Activities!I58+Activities!I59+Activities!I60+Activities!I61+Activities!I62+Activities!I63+Activities!I65+Activities!I68+Activities!I69+Activities!I70+Activities!I71+Activities!I72+Activities!I76+Activities!I77</f>
        <v>22770</v>
      </c>
      <c r="G22" s="17">
        <f>Activities!K58+Activities!K59+Activities!K60+Activities!K61+Activities!K62+Activities!K63+Activities!K65+Activities!K68+Activities!K69+Activities!K70+Activities!K71+Activities!K72+Activities!K76+Activities!K77</f>
        <v>6000</v>
      </c>
      <c r="H22" s="18">
        <f>Activities!L58+Activities!L59+Activities!L60+Activities!L61+Activities!L62+Activities!L63+Activities!L65+Activities!L68+Activities!L69+Activities!L70+Activities!L71+Activities!L72+Activities!L76+Activities!L77</f>
        <v>1320</v>
      </c>
      <c r="I22" s="17">
        <f>Activities!N58+Activities!N59+Activities!N60+Activities!N61+Activities!N62+Activities!N63+Activities!N65+Activities!N68+Activities!N69+Activities!N70+Activities!N71+Activities!N72+Activities!N76+Activities!N77</f>
        <v>0</v>
      </c>
      <c r="J22" s="18">
        <f>Activities!O58+Activities!O59+Activities!O60+Activities!O61+Activities!O62+Activities!O63+Activities!O65+Activities!O68+Activities!O69+Activities!O70+Activities!O71+Activities!O72+Activities!O76+Activities!O77</f>
        <v>0</v>
      </c>
      <c r="K22" s="17">
        <f>Activities!Q58+Activities!Q59+Activities!Q60+Activities!Q61+Activities!Q62+Activities!Q63+Activities!Q65+Activities!Q68+Activities!Q69+Activities!Q70+Activities!Q71+Activities!Q72+Activities!Q76+Activities!Q77</f>
        <v>65253.020000000004</v>
      </c>
      <c r="L22" s="18">
        <f>Activities!R58+Activities!R59+Activities!R60+Activities!R61+Activities!R62+Activities!R63+Activities!R65+Activities!R68+Activities!R69+Activities!R70+Activities!R71+Activities!R72+Activities!R76+Activities!R77</f>
        <v>1686.3000000000002</v>
      </c>
      <c r="M22" s="19">
        <f>Activities!T58+Activities!T59+Activities!T60+Activities!T61+Activities!T62+Activities!T63+Activities!T65+Activities!T68+Activities!T69+Activities!T70+Activities!T71+Activities!T72+Activities!T76+Activities!T77</f>
        <v>0</v>
      </c>
      <c r="N22" s="56">
        <f>Activities!U58+Activities!U59+Activities!U60+Activities!U61+Activities!U62+Activities!U63+Activities!U65+Activities!U68+Activities!U69+Activities!U70+Activities!U71+Activities!U72+Activities!U76+Activities!U77</f>
        <v>0</v>
      </c>
      <c r="O22" s="20">
        <f t="shared" ref="O22:O23" si="22">C22+E22+G22+I22+K22+M22</f>
        <v>997439.02</v>
      </c>
      <c r="P22" s="21">
        <f t="shared" ref="P22:P23" si="23">D22+F22+H22+J22+L22+N22</f>
        <v>25776.3</v>
      </c>
      <c r="Q22" s="57">
        <f t="shared" si="2"/>
        <v>1023215.3200000001</v>
      </c>
      <c r="R22" s="58"/>
    </row>
    <row r="23" spans="1:18" ht="16.2" thickBot="1">
      <c r="A23" s="248"/>
      <c r="B23" s="22" t="s">
        <v>239</v>
      </c>
      <c r="C23" s="23">
        <f>Activities!E64+Activities!E66+Activities!E67+Activities!E73+Activities!E74+Activities!E75</f>
        <v>817380</v>
      </c>
      <c r="D23" s="24">
        <f>Activities!F64+Activities!F66+Activities!F67+Activities!F73+Activities!F74+Activities!F75</f>
        <v>0</v>
      </c>
      <c r="E23" s="23">
        <f>Activities!H64+Activities!H66+Activities!H67+Activities!H73+Activities!H74+Activities!H75</f>
        <v>140000</v>
      </c>
      <c r="F23" s="24">
        <f>Activities!I64+Activities!I66+Activities!I67+Activities!I73+Activities!I74+Activities!I75</f>
        <v>30800</v>
      </c>
      <c r="G23" s="23">
        <f>Activities!K64+Activities!K66+Activities!K67+Activities!K73+Activities!K74+Activities!K75</f>
        <v>0</v>
      </c>
      <c r="H23" s="24">
        <f>Activities!L64+Activities!L66+Activities!L67+Activities!L73+Activities!L74+Activities!L75</f>
        <v>0</v>
      </c>
      <c r="I23" s="23">
        <f>Activities!N64+Activities!N66+Activities!N67+Activities!N73+Activities!N74+Activities!N75</f>
        <v>0</v>
      </c>
      <c r="J23" s="24">
        <f>Activities!O64+Activities!O66+Activities!O67+Activities!O73+Activities!O74+Activities!O75</f>
        <v>0</v>
      </c>
      <c r="K23" s="23">
        <f>Activities!Q64+Activities!Q66+Activities!Q67+Activities!Q73+Activities!Q74+Activities!Q75</f>
        <v>67016.600000000006</v>
      </c>
      <c r="L23" s="24">
        <f>Activities!R64+Activities!R66+Activities!R67+Activities!R73+Activities!R74+Activities!R75</f>
        <v>2156.0000000000005</v>
      </c>
      <c r="M23" s="25">
        <f>Activities!T64+Activities!T66+Activities!T67+Activities!T73+Activities!T74+Activities!T75</f>
        <v>0</v>
      </c>
      <c r="N23" s="61">
        <f>Activities!U64+Activities!U66+Activities!U67+Activities!U73+Activities!U74+Activities!U75</f>
        <v>0</v>
      </c>
      <c r="O23" s="26">
        <f t="shared" si="22"/>
        <v>1024396.6</v>
      </c>
      <c r="P23" s="27">
        <f t="shared" si="23"/>
        <v>32956</v>
      </c>
      <c r="Q23" s="62">
        <f t="shared" si="2"/>
        <v>1057352.6000000001</v>
      </c>
      <c r="R23" s="63"/>
    </row>
    <row r="24" spans="1:18" ht="16.2" thickTop="1">
      <c r="A24" s="246" t="s">
        <v>195</v>
      </c>
      <c r="B24" s="46" t="s">
        <v>6</v>
      </c>
      <c r="C24" s="47">
        <f t="shared" ref="C24:P24" si="24">C25+C26</f>
        <v>71930</v>
      </c>
      <c r="D24" s="48">
        <f t="shared" si="24"/>
        <v>0</v>
      </c>
      <c r="E24" s="47">
        <f t="shared" si="24"/>
        <v>0</v>
      </c>
      <c r="F24" s="48">
        <f t="shared" si="24"/>
        <v>0</v>
      </c>
      <c r="G24" s="47">
        <f t="shared" si="24"/>
        <v>0</v>
      </c>
      <c r="H24" s="48">
        <f t="shared" si="24"/>
        <v>0</v>
      </c>
      <c r="I24" s="47">
        <f t="shared" si="24"/>
        <v>0</v>
      </c>
      <c r="J24" s="48">
        <f t="shared" si="24"/>
        <v>0</v>
      </c>
      <c r="K24" s="47">
        <f t="shared" si="24"/>
        <v>47661.034400000004</v>
      </c>
      <c r="L24" s="48">
        <f t="shared" si="24"/>
        <v>0</v>
      </c>
      <c r="M24" s="49">
        <f t="shared" si="24"/>
        <v>608941.92000000004</v>
      </c>
      <c r="N24" s="50">
        <f t="shared" si="24"/>
        <v>0</v>
      </c>
      <c r="O24" s="51">
        <f t="shared" si="24"/>
        <v>728532.95440000005</v>
      </c>
      <c r="P24" s="52">
        <f t="shared" si="24"/>
        <v>0</v>
      </c>
      <c r="Q24" s="66">
        <f t="shared" si="2"/>
        <v>728532.95440000005</v>
      </c>
      <c r="R24" s="67">
        <f>Q24/Q27*100</f>
        <v>2.1427439861739361</v>
      </c>
    </row>
    <row r="25" spans="1:18">
      <c r="A25" s="247"/>
      <c r="B25" s="16" t="s">
        <v>238</v>
      </c>
      <c r="C25" s="17">
        <f>Activities!E78+Activities!E79+Activities!E80+Activities!E81+Activities!E83+Activities!E86+Activities!E87+Activities!E88</f>
        <v>38490</v>
      </c>
      <c r="D25" s="18">
        <f>Activities!F78+Activities!F79+Activities!F80+Activities!F81+Activities!F83+Activities!F86+Activities!F87+Activities!F88</f>
        <v>0</v>
      </c>
      <c r="E25" s="17">
        <f>Activities!H78+Activities!H79+Activities!H80+Activities!H81+Activities!H83+Activities!H86+Activities!H87+Activities!H88</f>
        <v>0</v>
      </c>
      <c r="F25" s="18">
        <f>Activities!I78+Activities!I79+Activities!I80+Activities!I81+Activities!I83+Activities!I86+Activities!I87+Activities!I88</f>
        <v>0</v>
      </c>
      <c r="G25" s="17">
        <f>Activities!K78+Activities!K79+Activities!K80+Activities!K81+Activities!K83+Activities!K86+Activities!K87+Activities!K88</f>
        <v>0</v>
      </c>
      <c r="H25" s="18">
        <f>Activities!L78+Activities!L79+Activities!L80+Activities!L81+Activities!L83+Activities!L86+Activities!L87+Activities!L88</f>
        <v>0</v>
      </c>
      <c r="I25" s="17">
        <f>Activities!N78+Activities!N79+Activities!N80+Activities!N81+Activities!N83+Activities!N86+Activities!N87+Activities!N88</f>
        <v>0</v>
      </c>
      <c r="J25" s="18">
        <f>Activities!O78+Activities!O79+Activities!O80+Activities!O81+Activities!O83+Activities!O86+Activities!O87+Activities!O88</f>
        <v>0</v>
      </c>
      <c r="K25" s="17">
        <f>Activities!Q78+Activities!Q79+Activities!Q80+Activities!Q81+Activities!Q83+Activities!Q86+Activities!Q87+Activities!Q88</f>
        <v>36344.246400000004</v>
      </c>
      <c r="L25" s="18">
        <f>Activities!R78+Activities!R79+Activities!R80+Activities!R81+Activities!R83+Activities!R86+Activities!R87+Activities!R88</f>
        <v>0</v>
      </c>
      <c r="M25" s="19">
        <f>Activities!T78+Activities!T79+Activities!T80+Activities!T81+Activities!T83+Activities!T86+Activities!T87+Activities!T88</f>
        <v>480713.52</v>
      </c>
      <c r="N25" s="56">
        <f>Activities!U78+Activities!U79+Activities!U80+Activities!U81+Activities!U83+Activities!U86+Activities!U87+Activities!U88</f>
        <v>0</v>
      </c>
      <c r="O25" s="14">
        <f t="shared" ref="O25:P26" si="25">C25+E25+G25+I25+K25+M25</f>
        <v>555547.76640000008</v>
      </c>
      <c r="P25" s="15">
        <f t="shared" si="25"/>
        <v>0</v>
      </c>
      <c r="Q25" s="57">
        <f t="shared" si="2"/>
        <v>555547.76640000008</v>
      </c>
      <c r="R25" s="58"/>
    </row>
    <row r="26" spans="1:18" ht="16.2" thickBot="1">
      <c r="A26" s="248"/>
      <c r="B26" s="22" t="s">
        <v>239</v>
      </c>
      <c r="C26" s="23">
        <f>Activities!E82+Activities!E84+Activities!E85</f>
        <v>33440</v>
      </c>
      <c r="D26" s="24">
        <f>Activities!F82+Activities!F84+Activities!F85</f>
        <v>0</v>
      </c>
      <c r="E26" s="23">
        <f>Activities!H82+Activities!H84+Activities!H85</f>
        <v>0</v>
      </c>
      <c r="F26" s="24">
        <f>Activities!I82+Activities!I84+Activities!I85</f>
        <v>0</v>
      </c>
      <c r="G26" s="23">
        <f>Activities!K82+Activities!K84+Activities!K85</f>
        <v>0</v>
      </c>
      <c r="H26" s="24">
        <f>Activities!L82+Activities!L84+Activities!L85</f>
        <v>0</v>
      </c>
      <c r="I26" s="23">
        <f>Activities!N82+Activities!N84+Activities!N85</f>
        <v>0</v>
      </c>
      <c r="J26" s="24">
        <f>Activities!O82+Activities!O84+Activities!O85</f>
        <v>0</v>
      </c>
      <c r="K26" s="23">
        <f>Activities!Q82+Activities!Q84+Activities!Q85</f>
        <v>11316.788</v>
      </c>
      <c r="L26" s="24">
        <f>Activities!R82+Activities!R84+Activities!R85</f>
        <v>0</v>
      </c>
      <c r="M26" s="25">
        <f>Activities!T82+Activities!T84+Activities!T85</f>
        <v>128228.4</v>
      </c>
      <c r="N26" s="61">
        <f>Activities!U82+Activities!U84+Activities!U85</f>
        <v>0</v>
      </c>
      <c r="O26" s="14">
        <f t="shared" si="25"/>
        <v>172985.18799999999</v>
      </c>
      <c r="P26" s="15">
        <f t="shared" si="25"/>
        <v>0</v>
      </c>
      <c r="Q26" s="68">
        <f t="shared" si="2"/>
        <v>172985.18799999999</v>
      </c>
      <c r="R26" s="69"/>
    </row>
    <row r="27" spans="1:18" ht="16.2" thickBot="1">
      <c r="A27" s="231" t="s">
        <v>6</v>
      </c>
      <c r="B27" s="232"/>
      <c r="C27" s="30">
        <f>C3+C6+C9+C12+C15+C18+C21+C24</f>
        <v>4291706</v>
      </c>
      <c r="D27" s="31">
        <f t="shared" ref="D27:P27" si="26">D3+D6+D9+D12+D15+D18+D21+D24</f>
        <v>0</v>
      </c>
      <c r="E27" s="30">
        <f t="shared" si="26"/>
        <v>21759361.969999999</v>
      </c>
      <c r="F27" s="31">
        <f t="shared" si="26"/>
        <v>4787059.6333999997</v>
      </c>
      <c r="G27" s="30">
        <f t="shared" si="26"/>
        <v>62393</v>
      </c>
      <c r="H27" s="31">
        <f t="shared" si="26"/>
        <v>13726.460000000001</v>
      </c>
      <c r="I27" s="30">
        <f t="shared" si="26"/>
        <v>206977</v>
      </c>
      <c r="J27" s="31">
        <f t="shared" si="26"/>
        <v>45534.94</v>
      </c>
      <c r="K27" s="30">
        <f t="shared" si="26"/>
        <v>1885056.5623000001</v>
      </c>
      <c r="L27" s="31">
        <f t="shared" si="26"/>
        <v>339242.47233800002</v>
      </c>
      <c r="M27" s="34">
        <f t="shared" si="26"/>
        <v>608941.92000000004</v>
      </c>
      <c r="N27" s="70">
        <f t="shared" si="26"/>
        <v>0</v>
      </c>
      <c r="O27" s="36">
        <f t="shared" si="26"/>
        <v>28814436.452300001</v>
      </c>
      <c r="P27" s="37">
        <f t="shared" si="26"/>
        <v>5185563.5057379995</v>
      </c>
      <c r="Q27" s="71">
        <f t="shared" si="2"/>
        <v>33999999.958038002</v>
      </c>
      <c r="R27" s="72">
        <f>R3+R6+R9+R12+R15+R18+R21+R24</f>
        <v>100</v>
      </c>
    </row>
  </sheetData>
  <mergeCells count="17">
    <mergeCell ref="K1:L1"/>
    <mergeCell ref="M1:N1"/>
    <mergeCell ref="O1:Q1"/>
    <mergeCell ref="A3:A5"/>
    <mergeCell ref="A6:A8"/>
    <mergeCell ref="A1:B1"/>
    <mergeCell ref="C1:D1"/>
    <mergeCell ref="E1:F1"/>
    <mergeCell ref="G1:H1"/>
    <mergeCell ref="I1:J1"/>
    <mergeCell ref="A27:B27"/>
    <mergeCell ref="A9:A11"/>
    <mergeCell ref="A12:A14"/>
    <mergeCell ref="A15:A17"/>
    <mergeCell ref="A18:A20"/>
    <mergeCell ref="A21:A23"/>
    <mergeCell ref="A24:A26"/>
  </mergeCells>
  <pageMargins left="0.7" right="0.7" top="0.75" bottom="0.75" header="0.3" footer="0.3"/>
  <pageSetup paperSize="9" firstPageNumber="214748364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7"/>
  <sheetViews>
    <sheetView zoomScale="120" zoomScaleNormal="120" workbookViewId="0">
      <pane xSplit="1" topLeftCell="T1" activePane="topRight" state="frozen"/>
      <selection activeCell="X20" sqref="X20"/>
      <selection pane="topRight" activeCell="AH4" sqref="AH4"/>
    </sheetView>
  </sheetViews>
  <sheetFormatPr defaultColWidth="11.19921875" defaultRowHeight="15.6"/>
  <cols>
    <col min="1" max="1" width="15.796875" customWidth="1"/>
    <col min="2" max="2" width="17" customWidth="1"/>
    <col min="3" max="4" width="16.796875" customWidth="1"/>
    <col min="5" max="7" width="17" customWidth="1"/>
    <col min="8" max="11" width="16.796875" customWidth="1"/>
    <col min="12" max="13" width="17" customWidth="1"/>
    <col min="14" max="14" width="17.19921875" customWidth="1"/>
    <col min="15" max="17" width="17" customWidth="1"/>
    <col min="18" max="19" width="16.796875" customWidth="1"/>
    <col min="20" max="21" width="17" customWidth="1"/>
    <col min="22" max="22" width="18.69921875" customWidth="1"/>
    <col min="24" max="24" width="15.296875" bestFit="1" customWidth="1"/>
    <col min="25" max="25" width="14.296875" bestFit="1" customWidth="1"/>
    <col min="26" max="27" width="17" customWidth="1"/>
    <col min="28" max="28" width="18.69921875" customWidth="1"/>
    <col min="29" max="29" width="16.69921875" customWidth="1"/>
    <col min="30" max="31" width="17" customWidth="1"/>
    <col min="32" max="32" width="18.69921875" customWidth="1"/>
    <col min="33" max="33" width="13.296875" bestFit="1" customWidth="1"/>
    <col min="34" max="34" width="14.296875" bestFit="1" customWidth="1"/>
    <col min="35" max="35" width="14.19921875" customWidth="1"/>
    <col min="36" max="36" width="13.5" customWidth="1"/>
    <col min="37" max="37" width="13.296875" bestFit="1" customWidth="1"/>
    <col min="38" max="38" width="13.796875" customWidth="1"/>
    <col min="39" max="39" width="14.296875" bestFit="1" customWidth="1"/>
    <col min="40" max="40" width="14.796875" customWidth="1"/>
    <col min="41" max="41" width="13.5" customWidth="1"/>
    <col min="42" max="42" width="13.796875" customWidth="1"/>
    <col min="43" max="43" width="13.19921875" customWidth="1"/>
    <col min="44" max="44" width="15.796875" customWidth="1"/>
    <col min="45" max="45" width="13.796875" customWidth="1"/>
    <col min="46" max="46" width="13.69921875" customWidth="1"/>
    <col min="47" max="47" width="17.19921875" customWidth="1"/>
    <col min="48" max="48" width="16.5" customWidth="1"/>
    <col min="49" max="50" width="14.296875" bestFit="1" customWidth="1"/>
    <col min="51" max="51" width="12" customWidth="1"/>
    <col min="52" max="53" width="14.296875" bestFit="1" customWidth="1"/>
    <col min="55" max="55" width="14.69921875" customWidth="1"/>
    <col min="56" max="56" width="13.69921875" customWidth="1"/>
    <col min="57" max="57" width="11.69921875" customWidth="1"/>
    <col min="58" max="58" width="15.69921875" customWidth="1"/>
    <col min="60" max="60" width="16.5" customWidth="1"/>
    <col min="61" max="61" width="8.69921875" customWidth="1"/>
    <col min="62" max="62" width="17.19921875" customWidth="1"/>
    <col min="63" max="63" width="8.796875" customWidth="1"/>
    <col min="64" max="64" width="16.5" customWidth="1"/>
  </cols>
  <sheetData>
    <row r="1" spans="1:43" s="1" customFormat="1" ht="61.05" customHeight="1">
      <c r="A1" s="95"/>
      <c r="B1" s="257" t="s">
        <v>0</v>
      </c>
      <c r="C1" s="258"/>
      <c r="D1" s="259"/>
      <c r="E1" s="257" t="s">
        <v>1</v>
      </c>
      <c r="F1" s="258"/>
      <c r="G1" s="259"/>
      <c r="H1" s="257" t="s">
        <v>2</v>
      </c>
      <c r="I1" s="258"/>
      <c r="J1" s="259"/>
      <c r="K1" s="257" t="s">
        <v>3</v>
      </c>
      <c r="L1" s="258"/>
      <c r="M1" s="259"/>
      <c r="N1" s="257" t="s">
        <v>4</v>
      </c>
      <c r="O1" s="258"/>
      <c r="P1" s="259"/>
      <c r="Q1" s="238" t="s">
        <v>5</v>
      </c>
      <c r="R1" s="258"/>
      <c r="S1" s="260"/>
      <c r="T1" s="254" t="s">
        <v>6</v>
      </c>
      <c r="U1" s="255"/>
      <c r="V1" s="256"/>
      <c r="W1" s="209" t="s">
        <v>311</v>
      </c>
      <c r="Y1" s="253" t="s">
        <v>289</v>
      </c>
      <c r="Z1" s="253"/>
      <c r="AA1" s="253"/>
      <c r="AC1" s="253" t="s">
        <v>293</v>
      </c>
      <c r="AD1" s="253"/>
      <c r="AE1" s="253"/>
      <c r="AG1" s="253" t="s">
        <v>294</v>
      </c>
      <c r="AH1" s="253"/>
      <c r="AI1" s="253"/>
    </row>
    <row r="2" spans="1:43" s="2" customFormat="1" ht="31.8" thickBot="1">
      <c r="A2" s="94" t="s">
        <v>240</v>
      </c>
      <c r="B2" s="5" t="s">
        <v>10</v>
      </c>
      <c r="C2" s="6" t="s">
        <v>11</v>
      </c>
      <c r="D2" s="8" t="s">
        <v>241</v>
      </c>
      <c r="E2" s="5" t="s">
        <v>10</v>
      </c>
      <c r="F2" s="6" t="s">
        <v>11</v>
      </c>
      <c r="G2" s="8" t="s">
        <v>241</v>
      </c>
      <c r="H2" s="5" t="s">
        <v>10</v>
      </c>
      <c r="I2" s="6" t="s">
        <v>11</v>
      </c>
      <c r="J2" s="8" t="s">
        <v>241</v>
      </c>
      <c r="K2" s="5" t="s">
        <v>10</v>
      </c>
      <c r="L2" s="6" t="s">
        <v>11</v>
      </c>
      <c r="M2" s="8" t="s">
        <v>241</v>
      </c>
      <c r="N2" s="5" t="s">
        <v>10</v>
      </c>
      <c r="O2" s="6" t="s">
        <v>11</v>
      </c>
      <c r="P2" s="73" t="s">
        <v>241</v>
      </c>
      <c r="Q2" s="5" t="s">
        <v>10</v>
      </c>
      <c r="R2" s="6" t="s">
        <v>11</v>
      </c>
      <c r="S2" s="8" t="s">
        <v>241</v>
      </c>
      <c r="T2" s="10" t="s">
        <v>10</v>
      </c>
      <c r="U2" s="6" t="s">
        <v>11</v>
      </c>
      <c r="V2" s="11" t="s">
        <v>241</v>
      </c>
      <c r="W2" s="74"/>
      <c r="Y2" s="96" t="s">
        <v>10</v>
      </c>
      <c r="Z2" s="6" t="s">
        <v>11</v>
      </c>
      <c r="AA2" s="11" t="s">
        <v>241</v>
      </c>
      <c r="AC2" s="96" t="s">
        <v>10</v>
      </c>
      <c r="AD2" s="6" t="s">
        <v>11</v>
      </c>
      <c r="AE2" s="11" t="s">
        <v>241</v>
      </c>
      <c r="AG2" s="185" t="s">
        <v>290</v>
      </c>
      <c r="AH2" s="186" t="s">
        <v>291</v>
      </c>
      <c r="AI2" s="187" t="s">
        <v>292</v>
      </c>
    </row>
    <row r="3" spans="1:43" ht="16.8" thickTop="1" thickBot="1">
      <c r="A3" s="46" t="s">
        <v>242</v>
      </c>
      <c r="B3" s="47">
        <f>SUM(B4:B11)</f>
        <v>3146240</v>
      </c>
      <c r="C3" s="48">
        <f t="shared" ref="C3:O3" si="0">SUM(C4:C11)</f>
        <v>0</v>
      </c>
      <c r="D3" s="49">
        <f t="shared" ref="D3:D14" si="1">B3+C3</f>
        <v>3146240</v>
      </c>
      <c r="E3" s="47">
        <f t="shared" si="0"/>
        <v>14346410.33</v>
      </c>
      <c r="F3" s="48">
        <f t="shared" si="0"/>
        <v>3156210.2725999998</v>
      </c>
      <c r="G3" s="49">
        <f t="shared" ref="G3:G14" si="2">E3+F3</f>
        <v>17502620.602600001</v>
      </c>
      <c r="H3" s="47">
        <f t="shared" si="0"/>
        <v>56393</v>
      </c>
      <c r="I3" s="48">
        <f t="shared" si="0"/>
        <v>12406.460000000001</v>
      </c>
      <c r="J3" s="49">
        <f t="shared" ref="J3:J14" si="3">H3+I3</f>
        <v>68799.460000000006</v>
      </c>
      <c r="K3" s="47">
        <f>SUM(K4:K11)</f>
        <v>106977</v>
      </c>
      <c r="L3" s="48">
        <f>SUM(L4:L11)</f>
        <v>23534.940000000002</v>
      </c>
      <c r="M3" s="49">
        <f t="shared" ref="M3:M14" si="4">K3+L3</f>
        <v>130511.94</v>
      </c>
      <c r="N3" s="47">
        <f t="shared" si="0"/>
        <v>1251911.3811000003</v>
      </c>
      <c r="O3" s="48">
        <f t="shared" si="0"/>
        <v>223450.61708200001</v>
      </c>
      <c r="P3" s="49">
        <f t="shared" ref="P3:P14" si="5">N3+O3</f>
        <v>1475361.9981820004</v>
      </c>
      <c r="Q3" s="47">
        <f t="shared" ref="Q3:R3" si="6">SUM(Q4:Q11)</f>
        <v>228428.4</v>
      </c>
      <c r="R3" s="48">
        <f t="shared" si="6"/>
        <v>0</v>
      </c>
      <c r="S3" s="49">
        <f t="shared" ref="S3:S14" si="7">Q3+R3</f>
        <v>228428.4</v>
      </c>
      <c r="T3" s="51">
        <f t="shared" ref="T3:V15" si="8">B3+E3+H3+K3+N3+Q3</f>
        <v>19136360.111099996</v>
      </c>
      <c r="U3" s="48">
        <f t="shared" si="8"/>
        <v>3415602.2896819999</v>
      </c>
      <c r="V3" s="52">
        <f t="shared" si="8"/>
        <v>22551962.400782</v>
      </c>
      <c r="W3" s="75">
        <f t="shared" ref="W3:W14" si="9">B3/V3*100</f>
        <v>13.95106972992693</v>
      </c>
      <c r="Y3" s="97">
        <v>38344333.189999998</v>
      </c>
      <c r="Z3" s="97">
        <v>7291354.2199999997</v>
      </c>
      <c r="AA3" s="97">
        <v>45635687.409999996</v>
      </c>
      <c r="AC3" s="103">
        <f t="shared" ref="AC3:AC15" si="10">T3-Y3</f>
        <v>-19207973.078900002</v>
      </c>
      <c r="AD3" s="103">
        <f t="shared" ref="AD3:AD15" si="11">U3-Z3</f>
        <v>-3875751.9303179998</v>
      </c>
      <c r="AE3" s="103">
        <f t="shared" ref="AE3:AE15" si="12">V3-AA3</f>
        <v>-23083725.009217996</v>
      </c>
      <c r="AG3" s="128">
        <f>SUM(AG4:AG11)</f>
        <v>42812280.1118</v>
      </c>
      <c r="AH3" s="129">
        <f>SUM(AH4:AH11)</f>
        <v>20033933.142781999</v>
      </c>
      <c r="AI3" s="126">
        <f>1-AH3/AG3</f>
        <v>0.53205171295559639</v>
      </c>
    </row>
    <row r="4" spans="1:43" ht="16.2" thickBot="1">
      <c r="A4" s="16" t="s">
        <v>16</v>
      </c>
      <c r="B4" s="17">
        <f>Activities!E3+Activities!E4+Activities!E7+Activities!E9+Activities!E12+Activities!E16+Activities!E29+Activities!E41+Activities!E57+Activities!E59+Activities!E60+Activities!E71+Activities!E78</f>
        <v>1331360</v>
      </c>
      <c r="C4" s="18">
        <f>Activities!F3+Activities!F4+Activities!F7+Activities!F9+Activities!F12+Activities!F16+Activities!F29+Activities!F41+Activities!F57+Activities!F59+Activities!F78</f>
        <v>0</v>
      </c>
      <c r="D4" s="19">
        <f t="shared" si="1"/>
        <v>1331360</v>
      </c>
      <c r="E4" s="122">
        <f>Activities!H3+Activities!H4+Activities!H7+Activities!H9+Activities!H12+Activities!H16+Activities!H29+Activities!H41+Activities!H57+Activities!H59+Activities!H60+Activities!H71+Activities!H78</f>
        <v>3667310.33</v>
      </c>
      <c r="F4" s="18">
        <f>Activities!I3+Activities!I4+Activities!I7+Activities!I9+Activities!I12+Activities!I16+Activities!I29+Activities!I41+Activities!I57+Activities!I59+Activities!I60+Activities!I71+Activities!I78</f>
        <v>806808.27260000003</v>
      </c>
      <c r="G4" s="19">
        <f t="shared" si="2"/>
        <v>4474118.6025999999</v>
      </c>
      <c r="H4" s="17">
        <f>Activities!K3+Activities!K4+Activities!K7+Activities!K9+Activities!K12+Activities!K16+Activities!K29+Activities!K41+Activities!K57+Activities!K59+Activities!K60+Activities!K71+Activities!K78</f>
        <v>0</v>
      </c>
      <c r="I4" s="18">
        <f>Activities!L3+Activities!L4+Activities!L7+Activities!L9+Activities!L12+Activities!L16+Activities!L29+Activities!L41+Activities!L57+Activities!L59+Activities!L60+Activities!L71+Activities!L78</f>
        <v>0</v>
      </c>
      <c r="J4" s="19">
        <f t="shared" si="3"/>
        <v>0</v>
      </c>
      <c r="K4" s="17">
        <f>Activities!N3+Activities!N4+Activities!N7+Activities!N9+Activities!N12+Activities!N16+Activities!N29+Activities!N41+Activities!N57+Activities!N59+Activities!N60+Activities!N71+Activities!N78</f>
        <v>0</v>
      </c>
      <c r="L4" s="18">
        <f>Activities!O3+Activities!O4+Activities!O7+Activities!O9+Activities!O12+Activities!O16+Activities!O29+Activities!O41+Activities!O57+Activities!O59+Activities!O60+Activities!O71+Activities!O78</f>
        <v>0</v>
      </c>
      <c r="M4" s="19">
        <f t="shared" si="4"/>
        <v>0</v>
      </c>
      <c r="N4" s="17">
        <f>Activities!Q3+Activities!Q4+Activities!Q7+Activities!Q9+Activities!Q12+Activities!Q16+Activities!Q29+Activities!Q41+Activities!Q57+Activities!Q59+Activities!Q60+Activities!Q71+Activities!Q78</f>
        <v>352944.8931000001</v>
      </c>
      <c r="O4" s="18">
        <f>Activities!R3+Activities!R4+Activities!R7+Activities!R9+Activities!R12+Activities!R16+Activities!R29+Activities!R41+Activities!R57+Activities!R59+Activities!R60+Activities!R71+Activities!R78</f>
        <v>56476.579082000004</v>
      </c>
      <c r="P4" s="19">
        <f t="shared" si="5"/>
        <v>409421.47218200011</v>
      </c>
      <c r="Q4" s="17">
        <f>Activities!T3+Activities!T4+Activities!T7+Activities!T9+Activities!T12+Activities!T16+Activities!T29+Activities!T41+Activities!T57+Activities!T59+Activities!T60+Activities!T71+Activities!T78</f>
        <v>43400</v>
      </c>
      <c r="R4" s="18">
        <f>Activities!U3+Activities!U4+Activities!U7+Activities!U9+Activities!U12+Activities!U16+Activities!U29+Activities!U41+Activities!U57+Activities!U59+Activities!U60+Activities!U71+Activities!U78</f>
        <v>0</v>
      </c>
      <c r="S4" s="19">
        <f t="shared" si="7"/>
        <v>43400</v>
      </c>
      <c r="T4" s="20">
        <f t="shared" si="8"/>
        <v>5395015.2231000001</v>
      </c>
      <c r="U4" s="18">
        <f t="shared" si="8"/>
        <v>863284.85168199998</v>
      </c>
      <c r="V4" s="21">
        <f t="shared" si="8"/>
        <v>6258300.0747819999</v>
      </c>
      <c r="W4" s="76">
        <f t="shared" si="9"/>
        <v>21.273508526137206</v>
      </c>
      <c r="Y4" s="98">
        <v>8709495.0500000007</v>
      </c>
      <c r="Z4" s="98">
        <v>1548573.02</v>
      </c>
      <c r="AA4" s="98">
        <v>10258068.07</v>
      </c>
      <c r="AC4" s="140">
        <f t="shared" si="10"/>
        <v>-3314479.8269000007</v>
      </c>
      <c r="AD4" s="140">
        <f t="shared" si="11"/>
        <v>-685288.16831800004</v>
      </c>
      <c r="AE4" s="140">
        <f t="shared" si="12"/>
        <v>-3999767.9952180004</v>
      </c>
      <c r="AG4" s="130">
        <v>8909696.8650000002</v>
      </c>
      <c r="AH4" s="13">
        <f>Activities!Y29+Activities!W60</f>
        <v>4931478.7047819998</v>
      </c>
      <c r="AI4" s="125">
        <f>1-AH4/AG4</f>
        <v>0.44650432225653502</v>
      </c>
    </row>
    <row r="5" spans="1:43" ht="16.2" thickBot="1">
      <c r="A5" s="16" t="s">
        <v>44</v>
      </c>
      <c r="B5" s="17">
        <f>Activities!E13+Activities!E17+Activities!E30+Activities!E42+Activities!E61+Activities!E79</f>
        <v>50160</v>
      </c>
      <c r="C5" s="18">
        <f>Activities!F13+Activities!F17+Activities!F30+Activities!F42+Activities!F61+Activities!F79</f>
        <v>0</v>
      </c>
      <c r="D5" s="19">
        <f t="shared" si="1"/>
        <v>50160</v>
      </c>
      <c r="E5" s="122">
        <f>Activities!H13+Activities!H17+Activities!H30+Activities!H42+Activities!H61+Activities!H79</f>
        <v>515000</v>
      </c>
      <c r="F5" s="18">
        <f>Activities!I13+Activities!I17+Activities!I30+Activities!I42+Activities!I61+Activities!I79</f>
        <v>113300</v>
      </c>
      <c r="G5" s="19">
        <f t="shared" si="2"/>
        <v>628300</v>
      </c>
      <c r="H5" s="17">
        <f>Activities!K13+Activities!K17+Activities!K30+Activities!K42+Activities!K61+Activities!K79</f>
        <v>0</v>
      </c>
      <c r="I5" s="18">
        <f>Activities!L13+Activities!L17+Activities!L30+Activities!L42+Activities!L61+Activities!L79</f>
        <v>0</v>
      </c>
      <c r="J5" s="19">
        <f t="shared" si="3"/>
        <v>0</v>
      </c>
      <c r="K5" s="17">
        <f>Activities!N13+Activities!N17+Activities!N30+Activities!N42+Activities!N61+Activities!N79</f>
        <v>0</v>
      </c>
      <c r="L5" s="18">
        <f>Activities!O13+Activities!O17+Activities!O30+Activities!O42+Activities!O61+Activities!O79</f>
        <v>0</v>
      </c>
      <c r="M5" s="19">
        <f t="shared" si="4"/>
        <v>0</v>
      </c>
      <c r="N5" s="17">
        <f>Activities!Q13+Activities!Q17+Activities!Q30+Activities!Q42+Activities!Q61+Activities!Q79</f>
        <v>39561.200000000012</v>
      </c>
      <c r="O5" s="18">
        <f>Activities!R13+Activities!R17+Activities!R30+Activities!R42+Activities!R61+Activities!R79</f>
        <v>7931.0000000000009</v>
      </c>
      <c r="P5" s="19">
        <f t="shared" si="5"/>
        <v>47492.200000000012</v>
      </c>
      <c r="Q5" s="17">
        <f>Activities!T13+Activities!T17+Activities!T30+Activities!T42+Activities!T61+Activities!T79</f>
        <v>0</v>
      </c>
      <c r="R5" s="18">
        <f>Activities!U13+Activities!U17+Activities!U30+Activities!U42+Activities!U61+Activities!U79</f>
        <v>0</v>
      </c>
      <c r="S5" s="19">
        <f t="shared" si="7"/>
        <v>0</v>
      </c>
      <c r="T5" s="20">
        <f t="shared" si="8"/>
        <v>604721.19999999995</v>
      </c>
      <c r="U5" s="18">
        <f t="shared" si="8"/>
        <v>121231</v>
      </c>
      <c r="V5" s="21">
        <f t="shared" si="8"/>
        <v>725952.2</v>
      </c>
      <c r="W5" s="76">
        <f t="shared" si="9"/>
        <v>6.9095458351114578</v>
      </c>
      <c r="Y5" s="98">
        <v>1249032.3999999999</v>
      </c>
      <c r="Z5" s="98">
        <v>251171.8</v>
      </c>
      <c r="AA5" s="98">
        <v>1500204.2</v>
      </c>
      <c r="AC5" s="140">
        <f t="shared" si="10"/>
        <v>-644311.19999999995</v>
      </c>
      <c r="AD5" s="140">
        <f t="shared" si="11"/>
        <v>-129940.79999999999</v>
      </c>
      <c r="AE5" s="140">
        <f t="shared" si="12"/>
        <v>-774252</v>
      </c>
      <c r="AG5" s="13">
        <v>1412207.4000000001</v>
      </c>
      <c r="AH5" s="13">
        <f>Activities!Y30+Activities!W61</f>
        <v>679535.6</v>
      </c>
      <c r="AI5" s="127">
        <f t="shared" ref="AI5:AI15" si="13">1-AH5/AG5</f>
        <v>0.51881317149308248</v>
      </c>
    </row>
    <row r="6" spans="1:43" ht="16.2" thickBot="1">
      <c r="A6" s="16" t="s">
        <v>59</v>
      </c>
      <c r="B6" s="17">
        <f>Activities!E18+Activities!E31+Activities!E43+Activities!E62+Activities!E80</f>
        <v>163020</v>
      </c>
      <c r="C6" s="18">
        <f>Activities!F18+Activities!F31+Activities!F43+Activities!F62+Activities!F80</f>
        <v>0</v>
      </c>
      <c r="D6" s="19">
        <f t="shared" si="1"/>
        <v>163020</v>
      </c>
      <c r="E6" s="122">
        <f>Activities!H18+Activities!H31+Activities!H43+Activities!H62+Activities!H80</f>
        <v>885000</v>
      </c>
      <c r="F6" s="18">
        <f>Activities!I18+Activities!I31+Activities!I43+Activities!I62+Activities!I80</f>
        <v>194700</v>
      </c>
      <c r="G6" s="19">
        <f t="shared" si="2"/>
        <v>1079700</v>
      </c>
      <c r="H6" s="17">
        <f>Activities!K18+Activities!K31+Activities!K43+Activities!K62+Activities!K80</f>
        <v>0</v>
      </c>
      <c r="I6" s="18">
        <f>Activities!L18+Activities!L31+Activities!L43+Activities!L62+Activities!L80</f>
        <v>0</v>
      </c>
      <c r="J6" s="19">
        <f t="shared" si="3"/>
        <v>0</v>
      </c>
      <c r="K6" s="17">
        <f>Activities!N18+Activities!N31+Activities!N43+Activities!N62+Activities!N80</f>
        <v>0</v>
      </c>
      <c r="L6" s="18">
        <f>Activities!O18+Activities!O31+Activities!O43+Activities!O62+Activities!O80</f>
        <v>0</v>
      </c>
      <c r="M6" s="19">
        <f t="shared" si="4"/>
        <v>0</v>
      </c>
      <c r="N6" s="17">
        <f>Activities!Q18+Activities!Q31+Activities!Q43+Activities!Q62+Activities!Q80</f>
        <v>75349.400000000009</v>
      </c>
      <c r="O6" s="18">
        <f>Activities!R18+Activities!R31+Activities!R43+Activities!R62+Activities!R80</f>
        <v>13629.000000000002</v>
      </c>
      <c r="P6" s="19">
        <f t="shared" si="5"/>
        <v>88978.400000000009</v>
      </c>
      <c r="Q6" s="17">
        <f>Activities!T18+Activities!T31+Activities!T43+Activities!T62+Activities!T80</f>
        <v>28400</v>
      </c>
      <c r="R6" s="18">
        <f>Activities!U18+Activities!U31+Activities!U43+Activities!U62+Activities!U80</f>
        <v>0</v>
      </c>
      <c r="S6" s="19">
        <f t="shared" si="7"/>
        <v>28400</v>
      </c>
      <c r="T6" s="20">
        <f t="shared" si="8"/>
        <v>1151769.3999999999</v>
      </c>
      <c r="U6" s="18">
        <f t="shared" si="8"/>
        <v>208329</v>
      </c>
      <c r="V6" s="21">
        <f t="shared" si="8"/>
        <v>1360098.4</v>
      </c>
      <c r="W6" s="76">
        <f t="shared" si="9"/>
        <v>11.985897490946245</v>
      </c>
      <c r="Y6" s="98">
        <v>2524515.2000000002</v>
      </c>
      <c r="Z6" s="98">
        <v>477862</v>
      </c>
      <c r="AA6" s="98">
        <v>3002377.2</v>
      </c>
      <c r="AC6" s="140">
        <f t="shared" si="10"/>
        <v>-1372745.8000000003</v>
      </c>
      <c r="AD6" s="140">
        <f t="shared" si="11"/>
        <v>-269533</v>
      </c>
      <c r="AE6" s="140">
        <f t="shared" si="12"/>
        <v>-1642278.8000000003</v>
      </c>
      <c r="AG6" s="13">
        <v>2806631.4</v>
      </c>
      <c r="AH6" s="13">
        <f>Activities!Y31+Activities!W62</f>
        <v>1230350.2</v>
      </c>
      <c r="AI6" s="127">
        <f t="shared" si="13"/>
        <v>0.5616274370763471</v>
      </c>
    </row>
    <row r="7" spans="1:43" ht="16.2" thickBot="1">
      <c r="A7" s="12" t="s">
        <v>64</v>
      </c>
      <c r="B7" s="17">
        <f>Activities!E19+Activities!E32+Activities!E44+Activities!E63+Activities!E72+Activities!E81+Activities!E27</f>
        <v>96140</v>
      </c>
      <c r="C7" s="18">
        <f>Activities!F19+Activities!F27+Activities!F32+Activities!F44+Activities!F63+Activities!F72+Activities!F81</f>
        <v>0</v>
      </c>
      <c r="D7" s="19">
        <f t="shared" si="1"/>
        <v>96140</v>
      </c>
      <c r="E7" s="122">
        <f>Activities!H19+Activities!H27+Activities!H32+Activities!H44+Activities!H63+Activities!H72+Activities!H81</f>
        <v>390600</v>
      </c>
      <c r="F7" s="18">
        <f>Activities!I19+Activities!I27+Activities!I32+Activities!I44+Activities!I63+Activities!I72+Activities!I81</f>
        <v>85932</v>
      </c>
      <c r="G7" s="19">
        <f t="shared" si="2"/>
        <v>476532</v>
      </c>
      <c r="H7" s="17">
        <f>Activities!K19+Activities!K27+Activities!K32+Activities!K44+Activities!K63+Activities!K72+Activities!K81</f>
        <v>0</v>
      </c>
      <c r="I7" s="18">
        <f>Activities!L19+Activities!L27+Activities!L32*0+Activities!L44+Activities!L63*0+Activities!L72+Activities!L81</f>
        <v>0</v>
      </c>
      <c r="J7" s="19">
        <f t="shared" si="3"/>
        <v>0</v>
      </c>
      <c r="K7" s="17">
        <f>Activities!N19+Activities!N27+Activities!N32+Activities!N44+Activities!N63+Activities!N72+Activities!N81</f>
        <v>0</v>
      </c>
      <c r="L7" s="18">
        <f>Activities!O19+Activities!O27+Activities!O32+Activities!O44+Activities!O63*0+Activities!O72+Activities!O81</f>
        <v>0</v>
      </c>
      <c r="M7" s="19">
        <f t="shared" si="4"/>
        <v>0</v>
      </c>
      <c r="N7" s="17">
        <f>Activities!Q19+Activities!Q32+Activities!Q44+Activities!Q63+Activities!Q72+Activities!Q81+Activities!Q27</f>
        <v>35065.800000000003</v>
      </c>
      <c r="O7" s="124">
        <f>Activities!R19+Activities!R27+Activities!R32+Activities!R44+Activities!R63+Activities!R72+Activities!R81</f>
        <v>6015.2400000000007</v>
      </c>
      <c r="P7" s="19">
        <f t="shared" si="5"/>
        <v>41081.040000000001</v>
      </c>
      <c r="Q7" s="17">
        <f>Activities!T19+Activities!T27+Activities!T32+Activities!T44+Activities!T63+Activities!T72+Activities!T81</f>
        <v>14200</v>
      </c>
      <c r="R7" s="18">
        <f>Activities!U19+Activities!U27+Activities!U32*0+Activities!U44+Activities!U63*0+Activities!U72+Activities!U81</f>
        <v>0</v>
      </c>
      <c r="S7" s="19">
        <f t="shared" si="7"/>
        <v>14200</v>
      </c>
      <c r="T7" s="20">
        <f t="shared" si="8"/>
        <v>536005.80000000005</v>
      </c>
      <c r="U7" s="18">
        <f t="shared" si="8"/>
        <v>91947.24</v>
      </c>
      <c r="V7" s="21">
        <f t="shared" si="8"/>
        <v>627953.04</v>
      </c>
      <c r="W7" s="76">
        <f t="shared" si="9"/>
        <v>15.310062039034001</v>
      </c>
      <c r="Y7" s="98">
        <v>2069936.4</v>
      </c>
      <c r="Z7" s="98">
        <v>428428</v>
      </c>
      <c r="AA7" s="98">
        <v>2498364.4</v>
      </c>
      <c r="AC7" s="140">
        <f t="shared" si="10"/>
        <v>-1533930.5999999999</v>
      </c>
      <c r="AD7" s="140">
        <f t="shared" si="11"/>
        <v>-336480.76</v>
      </c>
      <c r="AE7" s="140">
        <f t="shared" si="12"/>
        <v>-1870411.3599999999</v>
      </c>
      <c r="AG7" s="13">
        <v>2429499.2000000002</v>
      </c>
      <c r="AH7" s="13">
        <f>Activities!Y32+Activities!W63</f>
        <v>559087.84</v>
      </c>
      <c r="AI7" s="127">
        <f t="shared" si="13"/>
        <v>0.76987527306039039</v>
      </c>
    </row>
    <row r="8" spans="1:43" ht="16.2" thickBot="1">
      <c r="A8" s="28" t="s">
        <v>29</v>
      </c>
      <c r="B8" s="17">
        <f>Activities!E8+Activities!E20+Activities!E33+Activities!E45+Activities!E64+Activities!E73+Activities!E82</f>
        <v>777480</v>
      </c>
      <c r="C8" s="18">
        <f>Activities!F8+Activities!F20+Activities!F33+Activities!F45+Activities!F64+Activities!F73+Activities!F82</f>
        <v>0</v>
      </c>
      <c r="D8" s="19">
        <f t="shared" si="1"/>
        <v>777480</v>
      </c>
      <c r="E8" s="122">
        <f>Activities!H8+Activities!H20+Activities!H33+Activities!H45+Activities!H64+Activities!H73+Activities!H82</f>
        <v>3110000</v>
      </c>
      <c r="F8" s="18">
        <f>Activities!I8+Activities!I20+Activities!I33+Activities!I45+Activities!I64+Activities!I73+Activities!I82</f>
        <v>684200</v>
      </c>
      <c r="G8" s="19">
        <f t="shared" si="2"/>
        <v>3794200</v>
      </c>
      <c r="H8" s="17">
        <f>Activities!K8+Activities!K20+Activities!K33+Activities!K45+Activities!K64+Activities!K73+Activities!K82</f>
        <v>56393</v>
      </c>
      <c r="I8" s="18">
        <f>Activities!L8+Activities!L20+Activities!L33+Activities!L45+Activities!L64+Activities!L73+Activities!L82</f>
        <v>12406.460000000001</v>
      </c>
      <c r="J8" s="19">
        <f t="shared" si="3"/>
        <v>68799.460000000006</v>
      </c>
      <c r="K8" s="17">
        <f>Activities!N8+Activities!N20+Activities!N33+Activities!N45+Activities!N64+Activities!N73+Activities!N82</f>
        <v>57377</v>
      </c>
      <c r="L8" s="18">
        <f>Activities!O8+Activities!O20+Activities!O33+Activities!O45+Activities!O64+Activities!O73+Activities!O82</f>
        <v>12622.94</v>
      </c>
      <c r="M8" s="19">
        <f t="shared" si="4"/>
        <v>69999.94</v>
      </c>
      <c r="N8" s="17">
        <f>Activities!Q8+Activities!Q20+Activities!Q33+Activities!Q45+Activities!Q64+Activities!Q73+Activities!Q82</f>
        <v>286018.48800000001</v>
      </c>
      <c r="O8" s="18">
        <f>Activities!R8+Activities!R20+Activities!R33+Activities!R45+Activities!R64+Activities!R73+Activities!R82</f>
        <v>49646.057999999997</v>
      </c>
      <c r="P8" s="19">
        <f t="shared" si="5"/>
        <v>335664.54600000003</v>
      </c>
      <c r="Q8" s="17">
        <f>Activities!T8+Activities!T20+Activities!T33+Activities!T45+Activities!T64+Activities!T73+Activities!T82</f>
        <v>84728.4</v>
      </c>
      <c r="R8" s="18">
        <f>Activities!U8+Activities!U20+Activities!U33*0.4+Activities!U45+Activities!U64+Activities!U73+Activities!U82</f>
        <v>0</v>
      </c>
      <c r="S8" s="19">
        <f t="shared" si="7"/>
        <v>84728.4</v>
      </c>
      <c r="T8" s="20">
        <f t="shared" si="8"/>
        <v>4371996.8880000003</v>
      </c>
      <c r="U8" s="18">
        <f t="shared" si="8"/>
        <v>758875.45799999987</v>
      </c>
      <c r="V8" s="21">
        <f t="shared" si="8"/>
        <v>5130872.3460000008</v>
      </c>
      <c r="W8" s="76">
        <f t="shared" si="9"/>
        <v>15.152978822521652</v>
      </c>
      <c r="Y8" s="98">
        <v>9303254.5299999993</v>
      </c>
      <c r="Z8" s="98">
        <v>1690252.51</v>
      </c>
      <c r="AA8" s="98">
        <v>10993507.029999999</v>
      </c>
      <c r="AC8" s="140">
        <f t="shared" si="10"/>
        <v>-4931257.6419999991</v>
      </c>
      <c r="AD8" s="140">
        <f t="shared" si="11"/>
        <v>-931377.05200000014</v>
      </c>
      <c r="AE8" s="140">
        <f t="shared" si="12"/>
        <v>-5862634.6839999985</v>
      </c>
      <c r="AG8" s="13">
        <v>10501768.846799999</v>
      </c>
      <c r="AH8" s="13">
        <f>Activities!Y33+Activities!Y64</f>
        <v>4573864.1579999998</v>
      </c>
      <c r="AI8" s="127">
        <f t="shared" si="13"/>
        <v>0.56446726025647531</v>
      </c>
    </row>
    <row r="9" spans="1:43" ht="16.2" thickBot="1">
      <c r="A9" s="77" t="s">
        <v>72</v>
      </c>
      <c r="B9" s="17">
        <f>Activities!E21+Activities!E34+Activities!E46+Activities!E65+Activities!E83</f>
        <v>50160</v>
      </c>
      <c r="C9" s="18">
        <f>Activities!F21+Activities!F34+Activities!F65+Activities!F83</f>
        <v>0</v>
      </c>
      <c r="D9" s="19">
        <f t="shared" si="1"/>
        <v>50160</v>
      </c>
      <c r="E9" s="122">
        <f>Activities!H21+Activities!H34+Activities!H46+Activities!H65+Activities!H83</f>
        <v>157000</v>
      </c>
      <c r="F9" s="18">
        <f>Activities!I21+Activities!I34+Activities!I46+Activities!I65+Activities!I83</f>
        <v>34540</v>
      </c>
      <c r="G9" s="19">
        <f t="shared" si="2"/>
        <v>191540</v>
      </c>
      <c r="H9" s="17">
        <f>Activities!K21+Activities!K34+Activities!K46+Activities!K65+Activities!K83</f>
        <v>0</v>
      </c>
      <c r="I9" s="18">
        <f>Activities!L21+Activities!L34+Activities!L46+Activities!L65+Activities!L83</f>
        <v>0</v>
      </c>
      <c r="J9" s="19">
        <f t="shared" si="3"/>
        <v>0</v>
      </c>
      <c r="K9" s="17">
        <f>Activities!N21+Activities!N34+Activities!N46+Activities!N65+Activities!N83</f>
        <v>0</v>
      </c>
      <c r="L9" s="18">
        <f>Activities!O21+Activities!O34+Activities!O46+Activities!O65+Activities!O83</f>
        <v>0</v>
      </c>
      <c r="M9" s="19">
        <f t="shared" si="4"/>
        <v>0</v>
      </c>
      <c r="N9" s="17">
        <f>Activities!Q21+Activities!Q34+Activities!Q46+Activities!Q65+Activities!Q83</f>
        <v>15495.200000000003</v>
      </c>
      <c r="O9" s="18">
        <f>Activities!R21+Activities!R34+Activities!R46+Activities!R65+Activities!R83</f>
        <v>2417.8000000000002</v>
      </c>
      <c r="P9" s="19">
        <f t="shared" si="5"/>
        <v>17913.000000000004</v>
      </c>
      <c r="Q9" s="17">
        <f>Activities!T21+Activities!T34+Activities!T46+Activities!T65+Activities!T83</f>
        <v>14200</v>
      </c>
      <c r="R9" s="18">
        <f>Activities!U21+Activities!U34+Activities!U46+Activities!U65+Activities!U83</f>
        <v>0</v>
      </c>
      <c r="S9" s="19">
        <f t="shared" si="7"/>
        <v>14200</v>
      </c>
      <c r="T9" s="20">
        <f t="shared" si="8"/>
        <v>236855.2</v>
      </c>
      <c r="U9" s="18">
        <f t="shared" si="8"/>
        <v>36957.800000000003</v>
      </c>
      <c r="V9" s="21">
        <f t="shared" si="8"/>
        <v>273813</v>
      </c>
      <c r="W9" s="76">
        <f t="shared" si="9"/>
        <v>18.319071775262678</v>
      </c>
      <c r="Y9" s="98">
        <v>379165.2</v>
      </c>
      <c r="Z9" s="98">
        <v>68266</v>
      </c>
      <c r="AA9" s="98">
        <v>447431.2</v>
      </c>
      <c r="AC9" s="140">
        <f t="shared" si="10"/>
        <v>-142310</v>
      </c>
      <c r="AD9" s="140">
        <f t="shared" si="11"/>
        <v>-31308.199999999997</v>
      </c>
      <c r="AE9" s="140">
        <f t="shared" si="12"/>
        <v>-173618.2</v>
      </c>
      <c r="AG9" s="13">
        <v>418819.4</v>
      </c>
      <c r="AH9" s="13">
        <f>Activities!Y34+Activities!W65</f>
        <v>245201.19999999998</v>
      </c>
      <c r="AI9" s="127">
        <f t="shared" si="13"/>
        <v>0.41454192427571412</v>
      </c>
    </row>
    <row r="10" spans="1:43" ht="16.2" thickBot="1">
      <c r="A10" s="12" t="s">
        <v>76</v>
      </c>
      <c r="B10" s="17">
        <f>Activities!E22+Activities!E35+Activities!E47+Activities!E66+Activities!E74+Activities!E84</f>
        <v>200640</v>
      </c>
      <c r="C10" s="18">
        <f>Activities!F22+Activities!F35+Activities!F47+Activities!F66+Activities!F74+Activities!F84</f>
        <v>0</v>
      </c>
      <c r="D10" s="19">
        <f t="shared" si="1"/>
        <v>200640</v>
      </c>
      <c r="E10" s="122">
        <f>Activities!H22+Activities!H35+Activities!H47+Activities!H66+Activities!H74+Activities!H84</f>
        <v>4000000</v>
      </c>
      <c r="F10" s="18">
        <f>Activities!I22+Activities!I35+Activities!I47+Activities!I66+Activities!I74+Activities!I84</f>
        <v>880000</v>
      </c>
      <c r="G10" s="19">
        <f t="shared" si="2"/>
        <v>4880000</v>
      </c>
      <c r="H10" s="17">
        <f>Activities!K22+Activities!K35+Activities!K47+Activities!K66+Activities!K74+Activities!K84</f>
        <v>0</v>
      </c>
      <c r="I10" s="18">
        <f>Activities!L22+Activities!L35+Activities!L47+Activities!L66+Activities!L74+Activities!L84</f>
        <v>0</v>
      </c>
      <c r="J10" s="19">
        <f t="shared" si="3"/>
        <v>0</v>
      </c>
      <c r="K10" s="17">
        <f>Activities!N22+Activities!N35+Activities!N47+Activities!N66+Activities!N74+Activities!N84</f>
        <v>0</v>
      </c>
      <c r="L10" s="18">
        <f>Activities!O22+Activities!O35+Activities!O47+Activities!O66+Activities!O74+Activities!O84</f>
        <v>0</v>
      </c>
      <c r="M10" s="19">
        <f t="shared" si="4"/>
        <v>0</v>
      </c>
      <c r="N10" s="17">
        <f>Activities!Q22+Activities!Q35+Activities!Q47+Activities!Q66+Activities!Q74+Activities!Q84</f>
        <v>294044.80000000005</v>
      </c>
      <c r="O10" s="18">
        <f>Activities!R22+Activities!R35+Activities!R47+Activities!R66+Activities!R74+Activities!R84</f>
        <v>61600.000000000007</v>
      </c>
      <c r="P10" s="19">
        <f t="shared" si="5"/>
        <v>355644.80000000005</v>
      </c>
      <c r="Q10" s="17">
        <f>Activities!T22+Activities!T35+Activities!T47+Activities!T66+Activities!T74+Activities!T84</f>
        <v>0</v>
      </c>
      <c r="R10" s="18">
        <f>Activities!U22+Activities!U35+Activities!U47+Activities!U66+Activities!U74+Activities!U84</f>
        <v>0</v>
      </c>
      <c r="S10" s="19">
        <f t="shared" si="7"/>
        <v>0</v>
      </c>
      <c r="T10" s="20">
        <f t="shared" si="8"/>
        <v>4494684.8</v>
      </c>
      <c r="U10" s="18">
        <f t="shared" si="8"/>
        <v>941600</v>
      </c>
      <c r="V10" s="21">
        <f t="shared" si="8"/>
        <v>5436284.7999999998</v>
      </c>
      <c r="W10" s="76">
        <f t="shared" si="9"/>
        <v>3.6907558632689739</v>
      </c>
      <c r="Y10" s="98">
        <v>9055024.8000000007</v>
      </c>
      <c r="Z10" s="98">
        <v>1944874.8</v>
      </c>
      <c r="AA10" s="98">
        <v>10999899.6</v>
      </c>
      <c r="AC10" s="140">
        <f t="shared" si="10"/>
        <v>-4560340.0000000009</v>
      </c>
      <c r="AD10" s="140">
        <f t="shared" si="11"/>
        <v>-1003274.8</v>
      </c>
      <c r="AE10" s="140">
        <f t="shared" si="12"/>
        <v>-5563614.7999999998</v>
      </c>
      <c r="AG10" s="13">
        <v>10901502.4</v>
      </c>
      <c r="AH10" s="13">
        <f>Activities!Y35+Activities!W66</f>
        <v>5337887.6000000006</v>
      </c>
      <c r="AI10" s="127">
        <f t="shared" si="13"/>
        <v>0.51035303170689572</v>
      </c>
    </row>
    <row r="11" spans="1:43" ht="16.2" thickBot="1">
      <c r="A11" s="22" t="s">
        <v>80</v>
      </c>
      <c r="B11" s="23">
        <f>Activities!E23+Activities!E36+Activities!E40+Activities!E48+Activities!E67+Activities!E75+Activities!E85</f>
        <v>477280</v>
      </c>
      <c r="C11" s="24">
        <f>Activities!F21+Activities!F23+Activities!F40+Activities!F48+Activities!F67+Activities!F75+Activities!F85</f>
        <v>0</v>
      </c>
      <c r="D11" s="25">
        <f t="shared" si="1"/>
        <v>477280</v>
      </c>
      <c r="E11" s="123">
        <f>Activities!H23+Activities!H36+Activities!H40+Activities!H48+Activities!H67+Activities!H75+Activities!H85</f>
        <v>1621500</v>
      </c>
      <c r="F11" s="24">
        <f>Activities!I23+Activities!I36+Activities!I40+Activities!I48+Activities!I67+Activities!I75+Activities!I85</f>
        <v>356730</v>
      </c>
      <c r="G11" s="25">
        <f t="shared" si="2"/>
        <v>1978230</v>
      </c>
      <c r="H11" s="23">
        <f>Activities!K23+Activities!K36+Activities!K40+Activities!K48+Activities!K67+Activities!K75+Activities!K85</f>
        <v>0</v>
      </c>
      <c r="I11" s="24">
        <f>Activities!L23+Activities!L36+Activities!L40+Activities!L48+Activities!L67+Activities!L75+Activities!L85</f>
        <v>0</v>
      </c>
      <c r="J11" s="25">
        <f t="shared" si="3"/>
        <v>0</v>
      </c>
      <c r="K11" s="23">
        <f>Activities!N23+Activities!N36+Activities!N40+Activities!N48+Activities!N67+Activities!N75+Activities!N85</f>
        <v>49600</v>
      </c>
      <c r="L11" s="24">
        <f>Activities!O23+Activities!O36+Activities!O40+Activities!O48+Activities!O67+Activities!O75+Activities!O85</f>
        <v>10912</v>
      </c>
      <c r="M11" s="25">
        <f t="shared" si="4"/>
        <v>60512</v>
      </c>
      <c r="N11" s="23">
        <f>Activities!Q23+Activities!Q36+Activities!Q40+Activities!Q48+Activities!Q67+Activities!Q75+Activities!Q85</f>
        <v>153431.6</v>
      </c>
      <c r="O11" s="24">
        <f>Activities!R23+Activities!R36+Activities!R40+Activities!R48+Activities!R67+Activities!R75+Activities!R85</f>
        <v>25734.940000000006</v>
      </c>
      <c r="P11" s="25">
        <f t="shared" si="5"/>
        <v>179166.54</v>
      </c>
      <c r="Q11" s="23">
        <f>Activities!T23+Activities!T36+Activities!T40+Activities!T48+Activities!T67+Activities!T75+Activities!T85</f>
        <v>43500</v>
      </c>
      <c r="R11" s="24">
        <f>Activities!U23+Activities!U36+Activities!U40+Activities!U48+Activities!U67+Activities!U75+Activities!U85</f>
        <v>0</v>
      </c>
      <c r="S11" s="25">
        <f t="shared" si="7"/>
        <v>43500</v>
      </c>
      <c r="T11" s="26">
        <f t="shared" si="8"/>
        <v>2345311.6</v>
      </c>
      <c r="U11" s="24">
        <f t="shared" si="8"/>
        <v>393376.94</v>
      </c>
      <c r="V11" s="27">
        <f t="shared" si="8"/>
        <v>2738688.54</v>
      </c>
      <c r="W11" s="78">
        <f t="shared" si="9"/>
        <v>17.427319427860169</v>
      </c>
      <c r="Y11" s="99">
        <v>5053909.6100000003</v>
      </c>
      <c r="Z11" s="99">
        <v>881926.1</v>
      </c>
      <c r="AA11" s="99">
        <v>5935835.71</v>
      </c>
      <c r="AC11" s="140">
        <f t="shared" si="10"/>
        <v>-2708598.0100000002</v>
      </c>
      <c r="AD11" s="140">
        <f t="shared" si="11"/>
        <v>-488549.16</v>
      </c>
      <c r="AE11" s="140">
        <f t="shared" si="12"/>
        <v>-3197147.17</v>
      </c>
      <c r="AG11" s="24">
        <v>5432154.5999999996</v>
      </c>
      <c r="AH11" s="13">
        <f>Activities!Y36+Activities!W67</f>
        <v>2476527.84</v>
      </c>
      <c r="AI11" s="134">
        <f t="shared" si="13"/>
        <v>0.54409842459196578</v>
      </c>
    </row>
    <row r="12" spans="1:43" ht="16.8" thickTop="1" thickBot="1">
      <c r="A12" s="79" t="s">
        <v>20</v>
      </c>
      <c r="B12" s="80">
        <f>Activities!E5+Activities!E6+Activities!E10+Activities!E14+Activities!E15+Activities!E24+Activities!E37+Activities!E49+Activities!E52+Activities!E53+Activities!E54+Activities!E55+Activities!E56+Activities!E68+Activities!E86</f>
        <v>587466</v>
      </c>
      <c r="C12" s="81">
        <f>Activities!F5+Activities!F6+Activities!F10+Activities!F14+Activities!F15+Activities!F24+Activities!F37+Activities!F49+Activities!F52+Activities!F53+Activities!F54+Activities!F55+Activities!F56+Activities!F68+Activities!F86</f>
        <v>0</v>
      </c>
      <c r="D12" s="82">
        <f t="shared" si="1"/>
        <v>587466</v>
      </c>
      <c r="E12" s="182">
        <f>Activities!H5+Activities!H6+Activities!H10+Activities!H14+Activities!H15+Activities!H24+Activities!H37+Activities!H49+Activities!H52+Activities!H53+Activities!H54+Activities!H55+Activities!H56+Activities!H68+Activities!H86</f>
        <v>3494550</v>
      </c>
      <c r="F12" s="81">
        <f>Activities!I5+Activities!I6+Activities!I10+Activities!I14+Activities!I15+Activities!I24+Activities!I37+Activities!I49+Activities!I52+Activities!I53+Activities!I54+Activities!I55+Activities!I56+Activities!I68+Activities!I86</f>
        <v>768801</v>
      </c>
      <c r="G12" s="82">
        <f t="shared" si="2"/>
        <v>4263351</v>
      </c>
      <c r="H12" s="80">
        <f>Activities!K5+Activities!K6+Activities!K10+Activities!K14+Activities!K15+Activities!K24+Activities!K37+Activities!K49+Activities!K52+Activities!K53+Activities!K54+Activities!K55+Activities!K56+Activities!K68+Activities!K86</f>
        <v>0</v>
      </c>
      <c r="I12" s="81">
        <f>Activities!L5+Activities!L6+Activities!L10+Activities!L14+Activities!L15+Activities!L24+Activities!L37+Activities!L49+Activities!L52+Activities!L53+Activities!L54+Activities!L55+Activities!L56+Activities!L68+Activities!L86</f>
        <v>0</v>
      </c>
      <c r="J12" s="82">
        <f t="shared" si="3"/>
        <v>0</v>
      </c>
      <c r="K12" s="80">
        <f>Activities!N5+Activities!N6+Activities!N10+Activities!N14+Activities!N15+Activities!N24+Activities!N37+Activities!N49+Activities!N52+Activities!N53+Activities!N54+Activities!N55+Activities!N56+Activities!N68+Activities!N86</f>
        <v>0</v>
      </c>
      <c r="L12" s="81">
        <f>Activities!O5+Activities!O6+Activities!O10+Activities!O14+Activities!O15+Activities!O24+Activities!O37+Activities!O49+Activities!O52+Activities!O53+Activities!O54+Activities!O55+Activities!O56+Activities!O68+Activities!O86</f>
        <v>0</v>
      </c>
      <c r="M12" s="82">
        <f t="shared" si="4"/>
        <v>0</v>
      </c>
      <c r="N12" s="80">
        <f>Activities!Q5+Activities!Q6+Activities!Q10+Activities!Q14+Activities!Q15+Activities!Q24+Activities!Q37+Activities!Q49+Activities!Q52+Activities!Q53+Activities!Q54+Activities!Q55+Activities!Q56+Activities!Q68+Activities!Q86</f>
        <v>292741.12</v>
      </c>
      <c r="O12" s="81">
        <f>Activities!R5+Activities!R6+Activities!R10+Activities!R14+Activities!R15+Activities!R24+Activities!R37+Activities!R49+Activities!R52+Activities!R53+Activities!R54+Activities!R55+Activities!R56+Activities!R68+Activities!R86</f>
        <v>53816.070000000007</v>
      </c>
      <c r="P12" s="82">
        <f t="shared" si="5"/>
        <v>346557.19</v>
      </c>
      <c r="Q12" s="80">
        <f>Activities!T5+Activities!T6+Activities!T10+Activities!T14+Activities!T15+Activities!T24+Activities!T37+Activities!T49+Activities!T52+Activities!T53+Activities!T54+Activities!T55+Activities!T56+Activities!T68+Activities!T86</f>
        <v>100000</v>
      </c>
      <c r="R12" s="81">
        <f>Activities!U5+Activities!U6+Activities!U10+Activities!U14+Activities!U15+Activities!U24+Activities!U37+Activities!U49+Activities!U52+Activities!U53+Activities!U54+Activities!U55+Activities!U56+Activities!U68+Activities!U86</f>
        <v>0</v>
      </c>
      <c r="S12" s="82">
        <f t="shared" si="7"/>
        <v>100000</v>
      </c>
      <c r="T12" s="83">
        <f t="shared" si="8"/>
        <v>4474757.1200000001</v>
      </c>
      <c r="U12" s="81">
        <f t="shared" si="8"/>
        <v>822617.07000000007</v>
      </c>
      <c r="V12" s="84">
        <f t="shared" si="8"/>
        <v>5297374.1900000004</v>
      </c>
      <c r="W12" s="85">
        <f t="shared" si="9"/>
        <v>11.089758414819475</v>
      </c>
      <c r="Y12" s="100">
        <v>9604448.4000000004</v>
      </c>
      <c r="Z12" s="100">
        <v>1929103</v>
      </c>
      <c r="AA12" s="100">
        <v>11533551.4</v>
      </c>
      <c r="AB12" s="104"/>
      <c r="AC12" s="103">
        <f t="shared" si="10"/>
        <v>-5129691.28</v>
      </c>
      <c r="AD12" s="103">
        <f t="shared" si="11"/>
        <v>-1106485.93</v>
      </c>
      <c r="AE12" s="103">
        <f t="shared" si="12"/>
        <v>-6236177.21</v>
      </c>
      <c r="AG12" s="135">
        <v>8806532.2800000012</v>
      </c>
      <c r="AH12" s="136">
        <f>Activities!Y37+Activities!W68</f>
        <v>2570355.0699999998</v>
      </c>
      <c r="AI12" s="137">
        <f t="shared" si="13"/>
        <v>0.70813085238586104</v>
      </c>
      <c r="AJ12" s="29"/>
      <c r="AK12" s="133"/>
      <c r="AL12" s="133"/>
      <c r="AM12" s="121"/>
      <c r="AO12" s="29"/>
      <c r="AP12" s="29"/>
      <c r="AQ12" s="121"/>
    </row>
    <row r="13" spans="1:43" ht="16.8" thickTop="1" thickBot="1">
      <c r="A13" s="79" t="s">
        <v>87</v>
      </c>
      <c r="B13" s="80">
        <f>Activities!E25+Activities!E38+Activities!E50+Activities!E58+Activities!E69+Activities!E76+Activities!E87</f>
        <v>279000</v>
      </c>
      <c r="C13" s="81">
        <f>Activities!F25+Activities!F38+Activities!F50+Activities!F69+Activities!F76+Activities!F87</f>
        <v>0</v>
      </c>
      <c r="D13" s="82">
        <f t="shared" si="1"/>
        <v>279000</v>
      </c>
      <c r="E13" s="80">
        <f>Activities!H25+Activities!H38+Activities!H50+Activities!H58+Activities!H69+Activities!H76+Activities!H87</f>
        <v>3342500</v>
      </c>
      <c r="F13" s="81">
        <f>Activities!I25+Activities!I38+Activities!I50+Activities!I58+Activities!I69+Activities!I76+Activities!I87</f>
        <v>735350</v>
      </c>
      <c r="G13" s="82">
        <f t="shared" si="2"/>
        <v>4077850</v>
      </c>
      <c r="H13" s="80">
        <f>Activities!K25+Activities!K38+Activities!K50+Activities!K58+Activities!K69+Activities!K76+Activities!K87</f>
        <v>6000</v>
      </c>
      <c r="I13" s="81">
        <f>Activities!L25+Activities!L38+Activities!L50+Activities!L58+Activities!L69+Activities!L76+Activities!L87</f>
        <v>1320</v>
      </c>
      <c r="J13" s="82">
        <f t="shared" si="3"/>
        <v>7320</v>
      </c>
      <c r="K13" s="80">
        <f>Activities!N25+Activities!N38+Activities!N50+Activities!N58+Activities!N69+Activities!N76+Activities!N87</f>
        <v>0</v>
      </c>
      <c r="L13" s="81">
        <f>Activities!O25+Activities!O38+Activities!O50+Activities!O58+Activities!O69+Activities!O76+Activities!O87</f>
        <v>0</v>
      </c>
      <c r="M13" s="82">
        <f t="shared" si="4"/>
        <v>0</v>
      </c>
      <c r="N13" s="80">
        <f>Activities!Q25+Activities!Q38+Activities!Q50+Activities!Q58+Activities!Q69+Activities!Q76+Activities!Q87</f>
        <v>265582.34640000004</v>
      </c>
      <c r="O13" s="81">
        <f>Activities!R25+Activities!R38+Activities!R50+Activities!R58+Activities!R69+Activities!R76+Activities!R87</f>
        <v>51566.9</v>
      </c>
      <c r="P13" s="82">
        <f t="shared" si="5"/>
        <v>317149.24640000006</v>
      </c>
      <c r="Q13" s="80">
        <f>Activities!T25+Activities!T38+Activities!T50+Activities!T58+Activities!T69+Activities!T76+Activities!T87</f>
        <v>166533.51999999999</v>
      </c>
      <c r="R13" s="81">
        <f>Activities!U25+Activities!U38+Activities!U50+Activities!U58+Activities!U69+Activities!U76+Activities!U87</f>
        <v>0</v>
      </c>
      <c r="S13" s="82">
        <f t="shared" si="7"/>
        <v>166533.51999999999</v>
      </c>
      <c r="T13" s="83">
        <f t="shared" si="8"/>
        <v>4059615.8664000002</v>
      </c>
      <c r="U13" s="81">
        <f t="shared" si="8"/>
        <v>788236.9</v>
      </c>
      <c r="V13" s="84">
        <f t="shared" si="8"/>
        <v>4847852.7664000001</v>
      </c>
      <c r="W13" s="85">
        <f t="shared" si="9"/>
        <v>5.7551252780142601</v>
      </c>
      <c r="Y13" s="100">
        <v>8333730.8700000001</v>
      </c>
      <c r="Z13" s="100">
        <v>1662865.6</v>
      </c>
      <c r="AA13" s="100">
        <v>9996596.4700000007</v>
      </c>
      <c r="AB13" s="104"/>
      <c r="AC13" s="103">
        <f t="shared" si="10"/>
        <v>-4274115.0035999995</v>
      </c>
      <c r="AD13" s="103">
        <f t="shared" si="11"/>
        <v>-874628.70000000007</v>
      </c>
      <c r="AE13" s="103">
        <f t="shared" si="12"/>
        <v>-5148743.7036000006</v>
      </c>
      <c r="AG13" s="135">
        <v>9547353.1999999993</v>
      </c>
      <c r="AH13" s="135">
        <f>Activities!Y38+Activities!W69</f>
        <v>4525853.9000000004</v>
      </c>
      <c r="AI13" s="137">
        <f t="shared" si="13"/>
        <v>0.52595721503212001</v>
      </c>
    </row>
    <row r="14" spans="1:43" ht="18" customHeight="1" thickTop="1" thickBot="1">
      <c r="A14" s="86" t="s">
        <v>37</v>
      </c>
      <c r="B14" s="87">
        <f>Activities!E11+Activities!E26+Activities!E28+Activities!E39+Activities!E51+Activities!E70+Activities!E77+Activities!E88</f>
        <v>279000</v>
      </c>
      <c r="C14" s="88">
        <f>Activities!F11+Activities!F26+Activities!F28+Activities!F39+Activities!F51+Activities!F70+Activities!F77+Activities!F88</f>
        <v>0</v>
      </c>
      <c r="D14" s="89">
        <f t="shared" si="1"/>
        <v>279000</v>
      </c>
      <c r="E14" s="87">
        <f>Activities!H11+Activities!H26+Activities!H28+Activities!H39+Activities!H51+Activities!H70+Activities!H77+Activities!H88</f>
        <v>575901.64</v>
      </c>
      <c r="F14" s="88">
        <f>Activities!I11+Activities!I26+Activities!I28+Activities!I39+Activities!I51+Activities!I70+Activities!I77+Activities!I88</f>
        <v>126698.36080000001</v>
      </c>
      <c r="G14" s="89">
        <f t="shared" si="2"/>
        <v>702600.00080000004</v>
      </c>
      <c r="H14" s="87">
        <f>Activities!K11+Activities!K26+Activities!K28+Activities!K39+Activities!K51+Activities!K70+Activities!K77+Activities!K88</f>
        <v>0</v>
      </c>
      <c r="I14" s="88">
        <f>Activities!L11+Activities!L26+Activities!L28+Activities!L39+Activities!L51+Activities!L70+Activities!L77+Activities!L88</f>
        <v>0</v>
      </c>
      <c r="J14" s="89">
        <f t="shared" si="3"/>
        <v>0</v>
      </c>
      <c r="K14" s="87">
        <f>Activities!N11+Activities!N26+Activities!N28+Activities!N39+Activities!N51+Activities!N70+Activities!N77+Activities!N88</f>
        <v>100000</v>
      </c>
      <c r="L14" s="88">
        <f>Activities!O11+Activities!O26+Activities!O28+Activities!O39+Activities!O51+Activities!O70+Activities!O77+Activities!O88</f>
        <v>22000</v>
      </c>
      <c r="M14" s="89">
        <f t="shared" si="4"/>
        <v>122000</v>
      </c>
      <c r="N14" s="87">
        <f>Activities!Q11+Activities!Q26+Activities!Q28+Activities!Q39+Activities!Q51+Activities!Q70+Activities!Q77+Activities!Q88</f>
        <v>74821.714800000016</v>
      </c>
      <c r="O14" s="88">
        <f>Activities!R11+Activities!R26+Activities!R28+Activities!R39+Activities!R51+Activities!R70+Activities!R77+Activities!R88</f>
        <v>10408.885256000001</v>
      </c>
      <c r="P14" s="89">
        <f t="shared" si="5"/>
        <v>85230.600056000025</v>
      </c>
      <c r="Q14" s="87">
        <f>Activities!T11+Activities!T26+Activities!T28+Activities!T39+Activities!T51+Activities!T70+Activities!T77+Activities!T88</f>
        <v>113980</v>
      </c>
      <c r="R14" s="88">
        <f>Activities!U11+Activities!U26+Activities!U28+Activities!U39+Activities!U51+Activities!U70+Activities!U77+Activities!U88</f>
        <v>0</v>
      </c>
      <c r="S14" s="89">
        <f t="shared" si="7"/>
        <v>113980</v>
      </c>
      <c r="T14" s="64">
        <f t="shared" si="8"/>
        <v>1143703.3548000001</v>
      </c>
      <c r="U14" s="88">
        <f t="shared" si="8"/>
        <v>159107.24605600003</v>
      </c>
      <c r="V14" s="65">
        <f t="shared" si="8"/>
        <v>1302810.6008560001</v>
      </c>
      <c r="W14" s="90">
        <f t="shared" si="9"/>
        <v>21.415238701364999</v>
      </c>
      <c r="Y14" s="101">
        <v>2141048.6</v>
      </c>
      <c r="Z14" s="101">
        <v>356631</v>
      </c>
      <c r="AA14" s="101">
        <v>2497679.6</v>
      </c>
      <c r="AC14" s="103">
        <f t="shared" si="10"/>
        <v>-997345.2452</v>
      </c>
      <c r="AD14" s="103">
        <f t="shared" si="11"/>
        <v>-197523.75394399997</v>
      </c>
      <c r="AE14" s="103">
        <f t="shared" si="12"/>
        <v>-1194868.999144</v>
      </c>
      <c r="AG14" s="138">
        <v>1919954.5</v>
      </c>
      <c r="AH14" s="138">
        <f>Activities!Y39+Activities!W70</f>
        <v>814644.500856</v>
      </c>
      <c r="AI14" s="139">
        <f t="shared" si="13"/>
        <v>0.57569593401510288</v>
      </c>
    </row>
    <row r="15" spans="1:43" ht="16.2" thickBot="1">
      <c r="A15" s="93"/>
      <c r="B15" s="30">
        <f>B3+B12+B13+B14</f>
        <v>4291706</v>
      </c>
      <c r="C15" s="31">
        <f t="shared" ref="C15:S15" si="14">C3+C12+C13+C14</f>
        <v>0</v>
      </c>
      <c r="D15" s="34">
        <f t="shared" si="14"/>
        <v>4291706</v>
      </c>
      <c r="E15" s="30">
        <f>E3+E12+E13+E14</f>
        <v>21759361.969999999</v>
      </c>
      <c r="F15" s="31">
        <f t="shared" si="14"/>
        <v>4787059.6333999997</v>
      </c>
      <c r="G15" s="34">
        <f t="shared" si="14"/>
        <v>26546421.603399999</v>
      </c>
      <c r="H15" s="30">
        <f t="shared" si="14"/>
        <v>62393</v>
      </c>
      <c r="I15" s="31">
        <f t="shared" si="14"/>
        <v>13726.460000000001</v>
      </c>
      <c r="J15" s="34">
        <f t="shared" si="14"/>
        <v>76119.460000000006</v>
      </c>
      <c r="K15" s="30">
        <f t="shared" si="14"/>
        <v>206977</v>
      </c>
      <c r="L15" s="31">
        <f t="shared" si="14"/>
        <v>45534.94</v>
      </c>
      <c r="M15" s="34">
        <f t="shared" si="14"/>
        <v>252511.94</v>
      </c>
      <c r="N15" s="30">
        <f t="shared" si="14"/>
        <v>1885056.5623000006</v>
      </c>
      <c r="O15" s="31">
        <f t="shared" si="14"/>
        <v>339242.47233800002</v>
      </c>
      <c r="P15" s="34">
        <f t="shared" si="14"/>
        <v>2224299.0346380007</v>
      </c>
      <c r="Q15" s="30">
        <f t="shared" si="14"/>
        <v>608941.92000000004</v>
      </c>
      <c r="R15" s="31">
        <f t="shared" si="14"/>
        <v>0</v>
      </c>
      <c r="S15" s="34">
        <f t="shared" si="14"/>
        <v>608941.92000000004</v>
      </c>
      <c r="T15" s="36">
        <f t="shared" si="8"/>
        <v>28814436.452300001</v>
      </c>
      <c r="U15" s="31">
        <f t="shared" si="8"/>
        <v>5185563.5057380004</v>
      </c>
      <c r="V15" s="37">
        <f t="shared" si="8"/>
        <v>33999999.958038002</v>
      </c>
      <c r="W15" s="91">
        <f>B15/V15*100</f>
        <v>12.622664721460946</v>
      </c>
      <c r="Y15" s="102">
        <v>58423561.060000002</v>
      </c>
      <c r="Z15" s="102">
        <v>11239953.82</v>
      </c>
      <c r="AA15" s="102">
        <v>69663514.879999995</v>
      </c>
      <c r="AC15" s="141">
        <f t="shared" si="10"/>
        <v>-29609124.607700001</v>
      </c>
      <c r="AD15" s="141">
        <f t="shared" si="11"/>
        <v>-6054390.3142619999</v>
      </c>
      <c r="AE15" s="141">
        <f t="shared" si="12"/>
        <v>-35663514.921961993</v>
      </c>
      <c r="AG15" s="131">
        <f>SUM(AG4:AG14)</f>
        <v>63086120.091800004</v>
      </c>
      <c r="AH15" s="131">
        <f>SUM(AH4:AH14)</f>
        <v>27944786.613638002</v>
      </c>
      <c r="AI15" s="132">
        <f t="shared" si="13"/>
        <v>0.55703748189024715</v>
      </c>
    </row>
    <row r="17" spans="1:43" ht="16.2" thickBot="1">
      <c r="B17" s="29"/>
    </row>
    <row r="18" spans="1:43">
      <c r="A18" s="198" t="s">
        <v>295</v>
      </c>
      <c r="B18" s="196">
        <f>B8+B10+B11</f>
        <v>1455400</v>
      </c>
      <c r="C18" s="193">
        <f t="shared" ref="C18:V18" si="15">C8+C10+C11</f>
        <v>0</v>
      </c>
      <c r="D18" s="204">
        <f t="shared" si="15"/>
        <v>1455400</v>
      </c>
      <c r="E18" s="196">
        <f t="shared" si="15"/>
        <v>8731500</v>
      </c>
      <c r="F18" s="193">
        <f t="shared" si="15"/>
        <v>1920930</v>
      </c>
      <c r="G18" s="204">
        <f t="shared" si="15"/>
        <v>10652430</v>
      </c>
      <c r="H18" s="196">
        <f t="shared" si="15"/>
        <v>56393</v>
      </c>
      <c r="I18" s="193">
        <f t="shared" si="15"/>
        <v>12406.460000000001</v>
      </c>
      <c r="J18" s="204">
        <f t="shared" si="15"/>
        <v>68799.460000000006</v>
      </c>
      <c r="K18" s="196">
        <f t="shared" si="15"/>
        <v>106977</v>
      </c>
      <c r="L18" s="193">
        <f t="shared" si="15"/>
        <v>23534.940000000002</v>
      </c>
      <c r="M18" s="204">
        <f t="shared" si="15"/>
        <v>130511.94</v>
      </c>
      <c r="N18" s="196">
        <f t="shared" si="15"/>
        <v>733494.88800000004</v>
      </c>
      <c r="O18" s="193">
        <f t="shared" si="15"/>
        <v>136980.99800000002</v>
      </c>
      <c r="P18" s="204">
        <f t="shared" si="15"/>
        <v>870475.88600000017</v>
      </c>
      <c r="Q18" s="196">
        <f t="shared" si="15"/>
        <v>128228.4</v>
      </c>
      <c r="R18" s="193">
        <f t="shared" si="15"/>
        <v>0</v>
      </c>
      <c r="S18" s="200">
        <f t="shared" si="15"/>
        <v>128228.4</v>
      </c>
      <c r="T18" s="202">
        <f t="shared" si="15"/>
        <v>11211993.288000001</v>
      </c>
      <c r="U18" s="193">
        <f t="shared" si="15"/>
        <v>2093852.3979999998</v>
      </c>
      <c r="V18" s="194">
        <f t="shared" si="15"/>
        <v>13305845.686000001</v>
      </c>
    </row>
    <row r="19" spans="1:43" ht="16.2" thickBot="1">
      <c r="A19" s="199" t="s">
        <v>296</v>
      </c>
      <c r="B19" s="197">
        <f>B4+B5+B6+B7+B9+B12+B13+B14</f>
        <v>2836306</v>
      </c>
      <c r="C19" s="142">
        <f t="shared" ref="C19:V19" si="16">C4+C5+C6+C7+C9+C12+C13+C14</f>
        <v>0</v>
      </c>
      <c r="D19" s="205">
        <f t="shared" si="16"/>
        <v>2836306</v>
      </c>
      <c r="E19" s="197">
        <f t="shared" si="16"/>
        <v>13027861.970000001</v>
      </c>
      <c r="F19" s="142">
        <f t="shared" si="16"/>
        <v>2866129.6333999997</v>
      </c>
      <c r="G19" s="205">
        <f t="shared" si="16"/>
        <v>15893991.603400001</v>
      </c>
      <c r="H19" s="197">
        <f t="shared" si="16"/>
        <v>6000</v>
      </c>
      <c r="I19" s="142">
        <f t="shared" si="16"/>
        <v>1320</v>
      </c>
      <c r="J19" s="205">
        <f t="shared" si="16"/>
        <v>7320</v>
      </c>
      <c r="K19" s="197">
        <f t="shared" si="16"/>
        <v>100000</v>
      </c>
      <c r="L19" s="142">
        <f t="shared" si="16"/>
        <v>22000</v>
      </c>
      <c r="M19" s="205">
        <f t="shared" si="16"/>
        <v>122000</v>
      </c>
      <c r="N19" s="197">
        <f t="shared" si="16"/>
        <v>1151561.6743000003</v>
      </c>
      <c r="O19" s="142">
        <f t="shared" si="16"/>
        <v>202261.47433800003</v>
      </c>
      <c r="P19" s="205">
        <f t="shared" si="16"/>
        <v>1353823.1486380002</v>
      </c>
      <c r="Q19" s="197">
        <f t="shared" si="16"/>
        <v>480713.52</v>
      </c>
      <c r="R19" s="142">
        <f t="shared" si="16"/>
        <v>0</v>
      </c>
      <c r="S19" s="201">
        <f t="shared" si="16"/>
        <v>480713.52</v>
      </c>
      <c r="T19" s="203">
        <f t="shared" si="16"/>
        <v>17602443.164300002</v>
      </c>
      <c r="U19" s="142">
        <f t="shared" si="16"/>
        <v>3091711.1077380003</v>
      </c>
      <c r="V19" s="195">
        <f t="shared" si="16"/>
        <v>20694154.272037998</v>
      </c>
    </row>
    <row r="21" spans="1:43">
      <c r="V21" s="29"/>
      <c r="AQ21">
        <v>1200000</v>
      </c>
    </row>
    <row r="24" spans="1:43">
      <c r="T24" s="29"/>
      <c r="X24" s="104"/>
    </row>
    <row r="27" spans="1:43">
      <c r="AI27" s="111"/>
    </row>
  </sheetData>
  <mergeCells count="10">
    <mergeCell ref="AG1:AI1"/>
    <mergeCell ref="T1:V1"/>
    <mergeCell ref="Y1:AA1"/>
    <mergeCell ref="AC1:AE1"/>
    <mergeCell ref="B1:D1"/>
    <mergeCell ref="E1:G1"/>
    <mergeCell ref="H1:J1"/>
    <mergeCell ref="K1:M1"/>
    <mergeCell ref="N1:P1"/>
    <mergeCell ref="Q1:S1"/>
  </mergeCells>
  <hyperlinks>
    <hyperlink ref="A5" r:id="rId1"/>
    <hyperlink ref="A6" r:id="rId2"/>
  </hyperlinks>
  <pageMargins left="0.7" right="0.7" top="0.75" bottom="0.75" header="0.3" footer="0.3"/>
  <pageSetup paperSize="9" firstPageNumber="2147483648"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Activities</vt:lpstr>
      <vt:lpstr>Share</vt:lpstr>
      <vt:lpstr>Costo per UO rimod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Africh</dc:creator>
  <cp:lastModifiedBy>Elisabetta Travaglia</cp:lastModifiedBy>
  <cp:revision>9</cp:revision>
  <dcterms:created xsi:type="dcterms:W3CDTF">2022-02-03T14:25:41Z</dcterms:created>
  <dcterms:modified xsi:type="dcterms:W3CDTF">2022-10-12T09:50:47Z</dcterms:modified>
</cp:coreProperties>
</file>